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7425"/>
  <workbookPr codeName="ThisWorkbook" showObjects="placeholders"/>
  <xr:revisionPtr xr6:coauthVersionLast="47" xr6:coauthVersionMax="47" documentId="13_ncr:1_{56B387F0-0730-4004-ABC0-D6C7EEFBC61A}" revIDLastSave="18" xr10:uidLastSave="{C23DA2ED-CE32-494E-9AE4-3CB1AF86F221}"/>
  <bookViews>
    <workbookView xr2:uid="{00000000-000D-0000-FFFF-FFFF00000000}" windowHeight="12576" windowWidth="23256" xWindow="-108" yWindow="-108"/>
  </bookViews>
  <sheets>
    <sheet r:id="rId1" name="2-2 水道事業の状況 (3)" sheetId="9"/>
  </sheets>
  <definedNames>
    <definedName hidden="1" localSheetId="0" name="_xlnm._FilterDatabase">'2-2 水道事業の状況 (3)'!$A$3:$P$97</definedName>
    <definedName localSheetId="0" name="_xlnm.Print_Titles">'2-2 水道事業の状況 (3)'!$1:$2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3" i="9" l="1"/>
  <c r="P103" i="9"/>
  <c r="O104" i="9"/>
  <c r="P104" i="9"/>
  <c r="M103" i="9"/>
  <c r="M104" i="9"/>
  <c r="H103" i="9"/>
  <c r="I103" i="9"/>
  <c r="H104" i="9"/>
  <c r="I104" i="9"/>
  <c r="P102" i="9"/>
  <c r="O102" i="9"/>
  <c r="M102" i="9"/>
  <c r="I102" i="9"/>
  <c r="H102" i="9"/>
  <c r="P101" i="9" l="1"/>
  <c r="O101" i="9"/>
  <c r="M100" i="9" l="1"/>
  <c r="I100" i="9"/>
  <c r="H100" i="9"/>
  <c r="M101" i="9" l="1"/>
  <c r="H101" i="9"/>
  <c r="I101" i="9"/>
  <c r="P99" i="9" l="1"/>
  <c r="O99" i="9"/>
  <c r="N99" i="9"/>
  <c r="M99" i="9"/>
  <c r="I99" i="9"/>
  <c r="H99" i="9"/>
  <c r="N98" i="9" l="1"/>
  <c r="H98" i="9" l="1"/>
  <c r="I98" i="9"/>
  <c r="M98" i="9"/>
  <c r="O98" i="9"/>
  <c r="P98" i="9"/>
  <c r="N70" i="9" l="1"/>
  <c r="K90" i="9" l="1"/>
  <c r="K89" i="9"/>
  <c r="K87" i="9"/>
  <c r="K86" i="9"/>
  <c r="K84" i="9"/>
  <c r="K83" i="9"/>
  <c r="K78" i="9"/>
  <c r="K77" i="9"/>
  <c r="K75" i="9"/>
  <c r="K74" i="9"/>
  <c r="K72" i="9"/>
  <c r="K71" i="9"/>
  <c r="K69" i="9"/>
  <c r="K68" i="9"/>
  <c r="K66" i="9"/>
  <c r="K65" i="9"/>
  <c r="K63" i="9"/>
  <c r="K62" i="9"/>
  <c r="K60" i="9"/>
  <c r="K59" i="9"/>
  <c r="K57" i="9"/>
  <c r="K56" i="9"/>
  <c r="K55" i="9"/>
  <c r="K54" i="9"/>
  <c r="K53" i="9"/>
  <c r="K51" i="9"/>
  <c r="K50" i="9"/>
  <c r="K49" i="9"/>
  <c r="K47" i="9"/>
  <c r="K46" i="9"/>
  <c r="K45" i="9"/>
  <c r="K43" i="9"/>
  <c r="K42" i="9"/>
  <c r="K41" i="9"/>
  <c r="K39" i="9"/>
  <c r="K38" i="9"/>
  <c r="K37" i="9"/>
  <c r="K35" i="9"/>
  <c r="K34" i="9"/>
  <c r="K33" i="9"/>
  <c r="K31" i="9"/>
  <c r="K30" i="9"/>
  <c r="K29" i="9"/>
  <c r="K27" i="9"/>
  <c r="K26" i="9"/>
  <c r="K25" i="9"/>
  <c r="K23" i="9"/>
  <c r="K22" i="9"/>
  <c r="K21" i="9"/>
  <c r="K19" i="9"/>
  <c r="K18" i="9"/>
  <c r="K17" i="9"/>
  <c r="K11" i="9"/>
  <c r="K10" i="9"/>
  <c r="K9" i="9"/>
  <c r="K15" i="9"/>
  <c r="K14" i="9"/>
  <c r="K13" i="9"/>
  <c r="K7" i="9"/>
  <c r="K6" i="9"/>
  <c r="K5" i="9"/>
  <c r="O4" i="9" l="1"/>
  <c r="O5" i="9"/>
  <c r="N5" i="9"/>
  <c r="N4" i="9"/>
  <c r="P97" i="9" l="1"/>
  <c r="P96" i="9"/>
  <c r="P95" i="9"/>
  <c r="P94" i="9"/>
  <c r="P93" i="9"/>
  <c r="P92" i="9"/>
  <c r="P91" i="9"/>
  <c r="P88" i="9"/>
  <c r="P85" i="9"/>
  <c r="P82" i="9"/>
  <c r="P76" i="9"/>
  <c r="P73" i="9"/>
  <c r="P70" i="9"/>
  <c r="P67" i="9"/>
  <c r="P64" i="9"/>
  <c r="P61" i="9"/>
  <c r="P58" i="9"/>
  <c r="P55" i="9"/>
  <c r="P52" i="9"/>
  <c r="P48" i="9"/>
  <c r="P44" i="9"/>
  <c r="P40" i="9"/>
  <c r="P36" i="9"/>
  <c r="P32" i="9"/>
  <c r="P28" i="9"/>
  <c r="P24" i="9"/>
  <c r="P20" i="9"/>
  <c r="P16" i="9"/>
  <c r="P12" i="9"/>
  <c r="P8" i="9"/>
  <c r="P4" i="9"/>
  <c r="O97" i="9"/>
  <c r="O96" i="9"/>
  <c r="O95" i="9"/>
  <c r="O94" i="9"/>
  <c r="O93" i="9"/>
  <c r="O92" i="9"/>
  <c r="O91" i="9"/>
  <c r="O88" i="9"/>
  <c r="O85" i="9"/>
  <c r="O82" i="9"/>
  <c r="O76" i="9"/>
  <c r="O73" i="9"/>
  <c r="O70" i="9"/>
  <c r="O67" i="9"/>
  <c r="O64" i="9"/>
  <c r="O61" i="9"/>
  <c r="O58" i="9"/>
  <c r="O55" i="9"/>
  <c r="O52" i="9"/>
  <c r="O48" i="9"/>
  <c r="O44" i="9"/>
  <c r="O40" i="9"/>
  <c r="O36" i="9"/>
  <c r="O32" i="9"/>
  <c r="O28" i="9"/>
  <c r="O24" i="9"/>
  <c r="O20" i="9"/>
  <c r="O16" i="9"/>
  <c r="O12" i="9"/>
  <c r="O8" i="9"/>
  <c r="P90" i="9"/>
  <c r="P89" i="9"/>
  <c r="P87" i="9"/>
  <c r="P86" i="9"/>
  <c r="P84" i="9"/>
  <c r="P83" i="9"/>
  <c r="P78" i="9"/>
  <c r="P77" i="9"/>
  <c r="P75" i="9"/>
  <c r="P74" i="9"/>
  <c r="P72" i="9"/>
  <c r="P71" i="9"/>
  <c r="P69" i="9"/>
  <c r="P68" i="9"/>
  <c r="P66" i="9"/>
  <c r="P65" i="9"/>
  <c r="P63" i="9"/>
  <c r="P62" i="9"/>
  <c r="P60" i="9"/>
  <c r="P59" i="9"/>
  <c r="P57" i="9"/>
  <c r="P56" i="9"/>
  <c r="P54" i="9"/>
  <c r="P53" i="9"/>
  <c r="P51" i="9"/>
  <c r="P50" i="9"/>
  <c r="P49" i="9"/>
  <c r="P47" i="9"/>
  <c r="P46" i="9"/>
  <c r="P45" i="9"/>
  <c r="P43" i="9"/>
  <c r="P42" i="9"/>
  <c r="P41" i="9"/>
  <c r="P39" i="9"/>
  <c r="P38" i="9"/>
  <c r="P37" i="9"/>
  <c r="P35" i="9"/>
  <c r="P34" i="9"/>
  <c r="P33" i="9"/>
  <c r="P31" i="9"/>
  <c r="P30" i="9"/>
  <c r="P29" i="9"/>
  <c r="P27" i="9"/>
  <c r="P26" i="9"/>
  <c r="P25" i="9"/>
  <c r="P23" i="9"/>
  <c r="P22" i="9"/>
  <c r="P21" i="9"/>
  <c r="P19" i="9"/>
  <c r="P18" i="9"/>
  <c r="P17" i="9"/>
  <c r="P15" i="9"/>
  <c r="P14" i="9"/>
  <c r="P13" i="9"/>
  <c r="P11" i="9"/>
  <c r="P10" i="9"/>
  <c r="P9" i="9"/>
  <c r="P7" i="9"/>
  <c r="P6" i="9"/>
  <c r="P5" i="9"/>
  <c r="O90" i="9"/>
  <c r="O89" i="9"/>
  <c r="O87" i="9"/>
  <c r="O86" i="9"/>
  <c r="O84" i="9"/>
  <c r="O83" i="9"/>
  <c r="O78" i="9"/>
  <c r="O77" i="9"/>
  <c r="O75" i="9"/>
  <c r="O74" i="9"/>
  <c r="O72" i="9"/>
  <c r="O71" i="9"/>
  <c r="O69" i="9"/>
  <c r="O68" i="9"/>
  <c r="O66" i="9"/>
  <c r="O65" i="9"/>
  <c r="O63" i="9"/>
  <c r="O62" i="9"/>
  <c r="O60" i="9"/>
  <c r="O59" i="9"/>
  <c r="O57" i="9"/>
  <c r="O56" i="9"/>
  <c r="O54" i="9"/>
  <c r="O53" i="9"/>
  <c r="O51" i="9"/>
  <c r="O50" i="9"/>
  <c r="O49" i="9"/>
  <c r="O47" i="9"/>
  <c r="O46" i="9"/>
  <c r="O45" i="9"/>
  <c r="O43" i="9"/>
  <c r="O42" i="9"/>
  <c r="O41" i="9"/>
  <c r="O39" i="9"/>
  <c r="O38" i="9"/>
  <c r="O37" i="9"/>
  <c r="O35" i="9"/>
  <c r="O34" i="9"/>
  <c r="O33" i="9"/>
  <c r="O31" i="9"/>
  <c r="O30" i="9"/>
  <c r="O29" i="9"/>
  <c r="O27" i="9"/>
  <c r="O26" i="9"/>
  <c r="O25" i="9"/>
  <c r="O23" i="9"/>
  <c r="O22" i="9"/>
  <c r="O21" i="9"/>
  <c r="O19" i="9"/>
  <c r="O18" i="9"/>
  <c r="O17" i="9"/>
  <c r="O15" i="9"/>
  <c r="O14" i="9"/>
  <c r="O13" i="9"/>
  <c r="O11" i="9"/>
  <c r="O10" i="9"/>
  <c r="O9" i="9"/>
  <c r="O7" i="9"/>
  <c r="O6" i="9"/>
  <c r="N90" i="9"/>
  <c r="N89" i="9"/>
  <c r="N87" i="9"/>
  <c r="N86" i="9"/>
  <c r="N84" i="9"/>
  <c r="N83" i="9"/>
  <c r="N78" i="9"/>
  <c r="N77" i="9"/>
  <c r="N75" i="9"/>
  <c r="N74" i="9"/>
  <c r="N72" i="9"/>
  <c r="N71" i="9"/>
  <c r="N69" i="9"/>
  <c r="N68" i="9"/>
  <c r="N66" i="9"/>
  <c r="N65" i="9"/>
  <c r="N63" i="9"/>
  <c r="N62" i="9"/>
  <c r="N60" i="9"/>
  <c r="N59" i="9"/>
  <c r="N57" i="9"/>
  <c r="N56" i="9"/>
  <c r="N54" i="9"/>
  <c r="N53" i="9"/>
  <c r="N51" i="9"/>
  <c r="N50" i="9"/>
  <c r="N49" i="9"/>
  <c r="N47" i="9"/>
  <c r="N46" i="9"/>
  <c r="N45" i="9"/>
  <c r="N43" i="9"/>
  <c r="N42" i="9"/>
  <c r="N41" i="9"/>
  <c r="N39" i="9"/>
  <c r="N38" i="9"/>
  <c r="N37" i="9"/>
  <c r="N35" i="9"/>
  <c r="N34" i="9"/>
  <c r="N33" i="9"/>
  <c r="N31" i="9"/>
  <c r="N30" i="9"/>
  <c r="N29" i="9"/>
  <c r="N27" i="9"/>
  <c r="N26" i="9"/>
  <c r="N25" i="9"/>
  <c r="N23" i="9"/>
  <c r="N22" i="9"/>
  <c r="N21" i="9"/>
  <c r="N19" i="9"/>
  <c r="N18" i="9"/>
  <c r="N17" i="9"/>
  <c r="N15" i="9"/>
  <c r="N14" i="9"/>
  <c r="N13" i="9"/>
  <c r="N11" i="9"/>
  <c r="N10" i="9"/>
  <c r="N9" i="9"/>
  <c r="N7" i="9"/>
  <c r="N6" i="9"/>
  <c r="N97" i="9"/>
  <c r="N96" i="9"/>
  <c r="N95" i="9"/>
  <c r="N94" i="9"/>
  <c r="N93" i="9"/>
  <c r="N92" i="9"/>
  <c r="N91" i="9"/>
  <c r="N88" i="9"/>
  <c r="N85" i="9"/>
  <c r="N82" i="9"/>
  <c r="N76" i="9"/>
  <c r="N73" i="9"/>
  <c r="N67" i="9"/>
  <c r="N64" i="9"/>
  <c r="N61" i="9"/>
  <c r="N58" i="9"/>
  <c r="N55" i="9"/>
  <c r="N52" i="9"/>
  <c r="N48" i="9"/>
  <c r="N44" i="9"/>
  <c r="N40" i="9"/>
  <c r="N36" i="9"/>
  <c r="N32" i="9"/>
  <c r="N28" i="9"/>
  <c r="N24" i="9"/>
  <c r="N20" i="9"/>
  <c r="N16" i="9"/>
  <c r="N12" i="9"/>
  <c r="N8" i="9"/>
  <c r="H97" i="9" l="1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I4" i="9"/>
  <c r="H4" i="9"/>
  <c r="I10" i="9"/>
  <c r="I5" i="9" l="1"/>
  <c r="M97" i="9"/>
  <c r="M96" i="9"/>
  <c r="M95" i="9"/>
  <c r="M94" i="9"/>
  <c r="M93" i="9"/>
  <c r="M92" i="9"/>
  <c r="M91" i="9"/>
  <c r="M90" i="9"/>
  <c r="M88" i="9"/>
  <c r="M87" i="9"/>
  <c r="M85" i="9"/>
  <c r="M84" i="9"/>
  <c r="M82" i="9"/>
  <c r="M78" i="9"/>
  <c r="M76" i="9"/>
  <c r="M75" i="9"/>
  <c r="M73" i="9"/>
  <c r="M72" i="9"/>
  <c r="M70" i="9"/>
  <c r="M69" i="9"/>
  <c r="M67" i="9"/>
  <c r="M66" i="9"/>
  <c r="M64" i="9"/>
  <c r="M63" i="9"/>
  <c r="M61" i="9"/>
  <c r="M60" i="9"/>
  <c r="M58" i="9"/>
  <c r="M57" i="9"/>
  <c r="M55" i="9"/>
  <c r="M54" i="9"/>
  <c r="M52" i="9"/>
  <c r="M51" i="9"/>
  <c r="M49" i="9"/>
  <c r="M48" i="9"/>
  <c r="M47" i="9"/>
  <c r="M45" i="9"/>
  <c r="M44" i="9"/>
  <c r="M43" i="9"/>
  <c r="M41" i="9"/>
  <c r="M40" i="9"/>
  <c r="M39" i="9"/>
  <c r="M37" i="9"/>
  <c r="M36" i="9"/>
  <c r="M35" i="9"/>
  <c r="M33" i="9"/>
  <c r="M32" i="9"/>
  <c r="M31" i="9"/>
  <c r="M29" i="9"/>
  <c r="M28" i="9"/>
  <c r="M27" i="9"/>
  <c r="M25" i="9"/>
  <c r="M24" i="9"/>
  <c r="M23" i="9"/>
  <c r="M21" i="9"/>
  <c r="M20" i="9"/>
  <c r="M19" i="9"/>
  <c r="M17" i="9"/>
  <c r="M16" i="9"/>
  <c r="M15" i="9"/>
  <c r="M13" i="9"/>
  <c r="M12" i="9"/>
  <c r="M11" i="9"/>
  <c r="M9" i="9"/>
  <c r="M8" i="9"/>
  <c r="M7" i="9"/>
  <c r="M4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8" i="9"/>
  <c r="I9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" i="9"/>
  <c r="I7" i="9"/>
  <c r="M14" i="9" l="1"/>
  <c r="M46" i="9"/>
  <c r="M71" i="9"/>
  <c r="M22" i="9"/>
  <c r="M53" i="9"/>
  <c r="M77" i="9"/>
  <c r="M30" i="9"/>
  <c r="M59" i="9"/>
  <c r="M83" i="9"/>
  <c r="M6" i="9"/>
  <c r="M38" i="9"/>
  <c r="M65" i="9"/>
  <c r="M89" i="9"/>
  <c r="M10" i="9"/>
  <c r="M18" i="9"/>
  <c r="M26" i="9"/>
  <c r="M34" i="9"/>
  <c r="M42" i="9"/>
  <c r="M50" i="9"/>
  <c r="M56" i="9"/>
  <c r="M62" i="9"/>
  <c r="M68" i="9"/>
  <c r="M74" i="9"/>
  <c r="M86" i="9"/>
  <c r="M5" i="9"/>
</calcChain>
</file>

<file path=xl/sharedStrings.xml><?xml version="1.0" encoding="utf-8"?>
<sst xmlns="http://schemas.openxmlformats.org/spreadsheetml/2006/main" count="217" uniqueCount="73">
  <si>
    <t>西暦</t>
    <rPh sb="0" eb="2">
      <t>セイレキ</t>
    </rPh>
    <phoneticPr fontId="2"/>
  </si>
  <si>
    <t>和歴</t>
    <rPh sb="0" eb="1">
      <t>ワ</t>
    </rPh>
    <rPh sb="1" eb="2">
      <t>レキ</t>
    </rPh>
    <phoneticPr fontId="2"/>
  </si>
  <si>
    <t>地区</t>
    <rPh sb="0" eb="2">
      <t>チク</t>
    </rPh>
    <phoneticPr fontId="5"/>
  </si>
  <si>
    <t>事業の別</t>
    <rPh sb="0" eb="2">
      <t>ジギョウ</t>
    </rPh>
    <rPh sb="3" eb="4">
      <t>ベツ</t>
    </rPh>
    <phoneticPr fontId="5"/>
  </si>
  <si>
    <t>人口(人)</t>
    <rPh sb="3" eb="4">
      <t>ニン</t>
    </rPh>
    <phoneticPr fontId="2"/>
  </si>
  <si>
    <t>普及率(％)</t>
    <rPh sb="0" eb="3">
      <t>フキュウリツ</t>
    </rPh>
    <phoneticPr fontId="2"/>
  </si>
  <si>
    <t>水量</t>
    <rPh sb="0" eb="2">
      <t>スイリョウ</t>
    </rPh>
    <phoneticPr fontId="2"/>
  </si>
  <si>
    <t>⑨有収率(％)</t>
    <rPh sb="1" eb="2">
      <t>ユウ</t>
    </rPh>
    <rPh sb="2" eb="3">
      <t>シュウ</t>
    </rPh>
    <rPh sb="3" eb="4">
      <t>リツ</t>
    </rPh>
    <phoneticPr fontId="2"/>
  </si>
  <si>
    <t xml:space="preserve">⑩1日平均給水量(㎥/日)
</t>
    <rPh sb="2" eb="3">
      <t>ニチ</t>
    </rPh>
    <rPh sb="3" eb="5">
      <t>ヘイキン</t>
    </rPh>
    <rPh sb="5" eb="7">
      <t>キュウスイ</t>
    </rPh>
    <rPh sb="7" eb="8">
      <t>リョウ</t>
    </rPh>
    <rPh sb="11" eb="12">
      <t>ニチ</t>
    </rPh>
    <phoneticPr fontId="5"/>
  </si>
  <si>
    <t>⑫1人1日平均有収水量
(㍑/人/日)</t>
    <rPh sb="5" eb="7">
      <t>ヘイキン</t>
    </rPh>
    <phoneticPr fontId="2"/>
  </si>
  <si>
    <t>①計画給水
人口</t>
    <rPh sb="1" eb="3">
      <t>ケイカク</t>
    </rPh>
    <rPh sb="3" eb="5">
      <t>キュウスイ</t>
    </rPh>
    <rPh sb="6" eb="8">
      <t>ジンコウ</t>
    </rPh>
    <phoneticPr fontId="2"/>
  </si>
  <si>
    <t>②給水
区域内人口</t>
    <rPh sb="1" eb="3">
      <t>キュウスイ</t>
    </rPh>
    <rPh sb="4" eb="6">
      <t>クイキ</t>
    </rPh>
    <rPh sb="6" eb="7">
      <t>ナイ</t>
    </rPh>
    <rPh sb="7" eb="9">
      <t>ジンコウ</t>
    </rPh>
    <phoneticPr fontId="2"/>
  </si>
  <si>
    <t>③給水人口</t>
    <rPh sb="1" eb="3">
      <t>キュウスイ</t>
    </rPh>
    <rPh sb="3" eb="5">
      <t>ジンコウ</t>
    </rPh>
    <phoneticPr fontId="2"/>
  </si>
  <si>
    <t>④対計画給水人口</t>
    <rPh sb="1" eb="2">
      <t>タイ</t>
    </rPh>
    <rPh sb="2" eb="4">
      <t>ケイカク</t>
    </rPh>
    <rPh sb="4" eb="6">
      <t>キュウスイ</t>
    </rPh>
    <rPh sb="6" eb="8">
      <t>ジンコウ</t>
    </rPh>
    <phoneticPr fontId="2"/>
  </si>
  <si>
    <t>⑤対給水区域内人口</t>
    <rPh sb="1" eb="2">
      <t>タイ</t>
    </rPh>
    <rPh sb="2" eb="4">
      <t>キュウスイ</t>
    </rPh>
    <rPh sb="4" eb="6">
      <t>クイキ</t>
    </rPh>
    <rPh sb="6" eb="7">
      <t>ナイ</t>
    </rPh>
    <rPh sb="7" eb="9">
      <t>ジンコウ</t>
    </rPh>
    <phoneticPr fontId="2"/>
  </si>
  <si>
    <t>⑥給水量</t>
    <rPh sb="1" eb="3">
      <t>キュウスイ</t>
    </rPh>
    <rPh sb="3" eb="4">
      <t>リョウ</t>
    </rPh>
    <phoneticPr fontId="2"/>
  </si>
  <si>
    <t>⑧1日最大　給水量</t>
    <rPh sb="1" eb="3">
      <t>イチニチ</t>
    </rPh>
    <rPh sb="3" eb="5">
      <t>サイダイ</t>
    </rPh>
    <rPh sb="6" eb="8">
      <t>キュウスイ</t>
    </rPh>
    <rPh sb="8" eb="9">
      <t>リョウ</t>
    </rPh>
    <phoneticPr fontId="5"/>
  </si>
  <si>
    <t>⑦有収水量</t>
    <rPh sb="1" eb="2">
      <t>ユウ</t>
    </rPh>
    <rPh sb="2" eb="3">
      <t>シュウ</t>
    </rPh>
    <rPh sb="3" eb="5">
      <t>スイリョウ</t>
    </rPh>
    <phoneticPr fontId="2"/>
  </si>
  <si>
    <t>⑪1人あたり</t>
    <rPh sb="1" eb="3">
      <t>ヒトリ</t>
    </rPh>
    <phoneticPr fontId="5"/>
  </si>
  <si>
    <t>③/①</t>
    <phoneticPr fontId="5"/>
  </si>
  <si>
    <t>③/②</t>
    <phoneticPr fontId="5"/>
  </si>
  <si>
    <t>⑦/⑥</t>
    <phoneticPr fontId="5"/>
  </si>
  <si>
    <t>⑥/365</t>
    <phoneticPr fontId="5"/>
  </si>
  <si>
    <t>⑥/③/365</t>
    <phoneticPr fontId="5"/>
  </si>
  <si>
    <t>⑦/③/365</t>
    <phoneticPr fontId="5"/>
  </si>
  <si>
    <t>昭和60年</t>
    <rPh sb="0" eb="2">
      <t>ｓ</t>
    </rPh>
    <rPh sb="4" eb="5">
      <t>ネン</t>
    </rPh>
    <phoneticPr fontId="4"/>
  </si>
  <si>
    <t>石狩町</t>
    <rPh sb="0" eb="3">
      <t>イシカリチョウ</t>
    </rPh>
    <phoneticPr fontId="5"/>
  </si>
  <si>
    <t>上水道事業</t>
    <rPh sb="0" eb="1">
      <t>ジョウ</t>
    </rPh>
    <rPh sb="1" eb="3">
      <t>スイドウ</t>
    </rPh>
    <rPh sb="3" eb="5">
      <t>ジギョウ</t>
    </rPh>
    <phoneticPr fontId="2"/>
  </si>
  <si>
    <t>簡易水道事業</t>
    <rPh sb="0" eb="2">
      <t>カンイ</t>
    </rPh>
    <rPh sb="2" eb="4">
      <t>スイドウ</t>
    </rPh>
    <rPh sb="4" eb="6">
      <t>ジギョウ</t>
    </rPh>
    <phoneticPr fontId="2"/>
  </si>
  <si>
    <t>厚田村</t>
    <rPh sb="0" eb="2">
      <t>ア</t>
    </rPh>
    <rPh sb="2" eb="3">
      <t>ムラ</t>
    </rPh>
    <phoneticPr fontId="5"/>
  </si>
  <si>
    <t>浜益村</t>
    <rPh sb="0" eb="2">
      <t>ｈ</t>
    </rPh>
    <rPh sb="2" eb="3">
      <t>ムラ</t>
    </rPh>
    <phoneticPr fontId="5"/>
  </si>
  <si>
    <t>昭和61年</t>
    <rPh sb="0" eb="2">
      <t>ｓ</t>
    </rPh>
    <rPh sb="4" eb="5">
      <t>ネン</t>
    </rPh>
    <phoneticPr fontId="4"/>
  </si>
  <si>
    <t>昭和62年</t>
    <rPh sb="0" eb="2">
      <t>ｓ</t>
    </rPh>
    <rPh sb="4" eb="5">
      <t>ネン</t>
    </rPh>
    <phoneticPr fontId="4"/>
  </si>
  <si>
    <t>昭和63年</t>
    <rPh sb="0" eb="2">
      <t>ｓ</t>
    </rPh>
    <rPh sb="4" eb="5">
      <t>ネン</t>
    </rPh>
    <phoneticPr fontId="4"/>
  </si>
  <si>
    <t>平成元年</t>
    <rPh sb="0" eb="2">
      <t>ｈ</t>
    </rPh>
    <rPh sb="2" eb="4">
      <t>ガンネン</t>
    </rPh>
    <phoneticPr fontId="4"/>
  </si>
  <si>
    <t>平成2年</t>
    <rPh sb="0" eb="2">
      <t>ｈ</t>
    </rPh>
    <rPh sb="3" eb="4">
      <t>ネン</t>
    </rPh>
    <phoneticPr fontId="4"/>
  </si>
  <si>
    <t>平成3年</t>
    <rPh sb="0" eb="2">
      <t>ｈ</t>
    </rPh>
    <rPh sb="3" eb="4">
      <t>ネン</t>
    </rPh>
    <phoneticPr fontId="4"/>
  </si>
  <si>
    <t>平成4年</t>
    <rPh sb="0" eb="2">
      <t>ｈ</t>
    </rPh>
    <rPh sb="3" eb="4">
      <t>ネン</t>
    </rPh>
    <phoneticPr fontId="4"/>
  </si>
  <si>
    <t>平成5年</t>
    <rPh sb="0" eb="2">
      <t>ｈ</t>
    </rPh>
    <rPh sb="3" eb="4">
      <t>ネン</t>
    </rPh>
    <phoneticPr fontId="4"/>
  </si>
  <si>
    <t>平成6年</t>
    <rPh sb="0" eb="2">
      <t>ｈ</t>
    </rPh>
    <rPh sb="3" eb="4">
      <t>ネン</t>
    </rPh>
    <phoneticPr fontId="4"/>
  </si>
  <si>
    <t>平成7年</t>
    <rPh sb="0" eb="2">
      <t>ｈ</t>
    </rPh>
    <rPh sb="3" eb="4">
      <t>ネン</t>
    </rPh>
    <phoneticPr fontId="4"/>
  </si>
  <si>
    <t>平成8年</t>
    <rPh sb="0" eb="2">
      <t>ｈ</t>
    </rPh>
    <rPh sb="3" eb="4">
      <t>ネン</t>
    </rPh>
    <phoneticPr fontId="4"/>
  </si>
  <si>
    <t>石狩市</t>
    <rPh sb="0" eb="3">
      <t>イ</t>
    </rPh>
    <phoneticPr fontId="5"/>
  </si>
  <si>
    <t>平成9年</t>
    <rPh sb="0" eb="2">
      <t>ｈ</t>
    </rPh>
    <rPh sb="3" eb="4">
      <t>ネン</t>
    </rPh>
    <phoneticPr fontId="4"/>
  </si>
  <si>
    <t>簡易水道事業</t>
    <phoneticPr fontId="5"/>
  </si>
  <si>
    <t>平成10年</t>
    <rPh sb="0" eb="2">
      <t>ｈ</t>
    </rPh>
    <rPh sb="4" eb="5">
      <t>ネン</t>
    </rPh>
    <phoneticPr fontId="4"/>
  </si>
  <si>
    <t>平成11年</t>
    <rPh sb="0" eb="2">
      <t>ｈ</t>
    </rPh>
    <rPh sb="4" eb="5">
      <t>ネン</t>
    </rPh>
    <phoneticPr fontId="4"/>
  </si>
  <si>
    <t>平成12年</t>
    <rPh sb="0" eb="2">
      <t>ｈ</t>
    </rPh>
    <rPh sb="4" eb="5">
      <t>ネン</t>
    </rPh>
    <phoneticPr fontId="4"/>
  </si>
  <si>
    <t>平成13年</t>
    <rPh sb="0" eb="2">
      <t>ｈ</t>
    </rPh>
    <rPh sb="4" eb="5">
      <t>ネン</t>
    </rPh>
    <phoneticPr fontId="4"/>
  </si>
  <si>
    <t>平成14年</t>
    <rPh sb="0" eb="2">
      <t>ｈ</t>
    </rPh>
    <rPh sb="4" eb="5">
      <t>ネン</t>
    </rPh>
    <phoneticPr fontId="4"/>
  </si>
  <si>
    <t>平成15年</t>
    <rPh sb="0" eb="2">
      <t>ｈ</t>
    </rPh>
    <rPh sb="4" eb="5">
      <t>ネン</t>
    </rPh>
    <phoneticPr fontId="4"/>
  </si>
  <si>
    <t>平成16年</t>
    <rPh sb="0" eb="2">
      <t>ｈ</t>
    </rPh>
    <rPh sb="4" eb="5">
      <t>ネン</t>
    </rPh>
    <phoneticPr fontId="4"/>
  </si>
  <si>
    <t>平成17年</t>
    <rPh sb="0" eb="2">
      <t>ｈ</t>
    </rPh>
    <rPh sb="4" eb="5">
      <t>ネン</t>
    </rPh>
    <phoneticPr fontId="4"/>
  </si>
  <si>
    <t>厚田区</t>
    <rPh sb="0" eb="2">
      <t>ア</t>
    </rPh>
    <rPh sb="2" eb="3">
      <t>ク</t>
    </rPh>
    <phoneticPr fontId="5"/>
  </si>
  <si>
    <t>浜益区</t>
    <rPh sb="0" eb="2">
      <t>ｈ</t>
    </rPh>
    <rPh sb="2" eb="3">
      <t>ク</t>
    </rPh>
    <phoneticPr fontId="5"/>
  </si>
  <si>
    <t>平成18年</t>
    <rPh sb="0" eb="2">
      <t>ｈ</t>
    </rPh>
    <rPh sb="4" eb="5">
      <t>ネン</t>
    </rPh>
    <phoneticPr fontId="4"/>
  </si>
  <si>
    <t>平成19年</t>
    <rPh sb="0" eb="2">
      <t>ｈ</t>
    </rPh>
    <rPh sb="4" eb="5">
      <t>ネン</t>
    </rPh>
    <phoneticPr fontId="4"/>
  </si>
  <si>
    <t>平成20年</t>
    <rPh sb="0" eb="2">
      <t>ｈ</t>
    </rPh>
    <rPh sb="4" eb="5">
      <t>ネン</t>
    </rPh>
    <phoneticPr fontId="4"/>
  </si>
  <si>
    <t>平成21年</t>
    <rPh sb="0" eb="2">
      <t>ｈ</t>
    </rPh>
    <rPh sb="4" eb="5">
      <t>ネン</t>
    </rPh>
    <phoneticPr fontId="4"/>
  </si>
  <si>
    <t>平成22年</t>
    <rPh sb="0" eb="2">
      <t>ｈ</t>
    </rPh>
    <rPh sb="4" eb="5">
      <t>ネン</t>
    </rPh>
    <phoneticPr fontId="4"/>
  </si>
  <si>
    <t>平成23年</t>
    <rPh sb="0" eb="2">
      <t>ｈ</t>
    </rPh>
    <rPh sb="4" eb="5">
      <t>ネン</t>
    </rPh>
    <phoneticPr fontId="4"/>
  </si>
  <si>
    <t>平成24年</t>
    <rPh sb="0" eb="2">
      <t>ｈ</t>
    </rPh>
    <rPh sb="4" eb="5">
      <t>ネン</t>
    </rPh>
    <phoneticPr fontId="4"/>
  </si>
  <si>
    <t>平成25年</t>
    <rPh sb="0" eb="2">
      <t>ｈ</t>
    </rPh>
    <rPh sb="4" eb="5">
      <t>ネン</t>
    </rPh>
    <phoneticPr fontId="4"/>
  </si>
  <si>
    <t>平成26年</t>
    <rPh sb="0" eb="2">
      <t>ｈ</t>
    </rPh>
    <rPh sb="4" eb="5">
      <t>ネン</t>
    </rPh>
    <phoneticPr fontId="4"/>
  </si>
  <si>
    <t>平成27年</t>
    <rPh sb="0" eb="2">
      <t>ｈ</t>
    </rPh>
    <rPh sb="4" eb="5">
      <t>ネン</t>
    </rPh>
    <phoneticPr fontId="4"/>
  </si>
  <si>
    <t>平成28年</t>
    <rPh sb="0" eb="2">
      <t>ｈ</t>
    </rPh>
    <rPh sb="4" eb="5">
      <t>ネン</t>
    </rPh>
    <phoneticPr fontId="4"/>
  </si>
  <si>
    <t>平成29年</t>
    <rPh sb="0" eb="2">
      <t>ｈ</t>
    </rPh>
    <rPh sb="4" eb="5">
      <t>ネン</t>
    </rPh>
    <phoneticPr fontId="4"/>
  </si>
  <si>
    <t>平成30年</t>
    <rPh sb="0" eb="2">
      <t>ｈ</t>
    </rPh>
    <rPh sb="4" eb="5">
      <t>ネン</t>
    </rPh>
    <phoneticPr fontId="4"/>
  </si>
  <si>
    <t>令和元年</t>
    <rPh sb="0" eb="4">
      <t>レイワガンネン</t>
    </rPh>
    <phoneticPr fontId="4"/>
  </si>
  <si>
    <t>令和２年</t>
    <rPh sb="0" eb="2">
      <t>レイワ</t>
    </rPh>
    <rPh sb="3" eb="4">
      <t>ネン</t>
    </rPh>
    <phoneticPr fontId="4"/>
  </si>
  <si>
    <t>令和３年</t>
    <rPh sb="0" eb="2">
      <t>レイワ</t>
    </rPh>
    <rPh sb="3" eb="4">
      <t>ネン</t>
    </rPh>
    <phoneticPr fontId="4"/>
  </si>
  <si>
    <t>令和４年</t>
    <rPh sb="0" eb="2">
      <t>レイワ</t>
    </rPh>
    <rPh sb="3" eb="4">
      <t>ネン</t>
    </rPh>
    <phoneticPr fontId="4"/>
  </si>
  <si>
    <t>令和５年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</si>
</sst>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&quot;千㎥&quot;"/>
    <numFmt numFmtId="178" formatCode="#,##0&quot;㎥&quot;"/>
    <numFmt numFmtId="179" formatCode="#,##0_ ;[Red]\-#,##0\ "/>
    <numFmt numFmtId="180" formatCode="#,##0.00_ ;[Red]\-#,##0.0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auto="1"/>
      </top>
      <bottom style="thin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84">
    <xf numFmtId="0" fontId="0" fillId="0" borderId="0" xfId="0"/>
    <xf numFmtId="0" fontId="3" fillId="0" borderId="51" xfId="0" applyFont="1" applyBorder="1" applyAlignment="1">
      <alignment horizontal="center" vertical="center" shrinkToFit="1"/>
    </xf>
    <xf numFmtId="177" fontId="3" fillId="0" borderId="15" xfId="1" applyNumberFormat="1" applyFont="1" applyBorder="1" applyAlignment="1">
      <alignment vertical="center" shrinkToFit="1"/>
    </xf>
    <xf numFmtId="0" fontId="0" fillId="0" borderId="0" xfId="0" applyAlignment="1">
      <alignment horizontal="left"/>
    </xf>
    <xf numFmtId="0" fontId="3" fillId="0" borderId="9" xfId="0" applyFont="1" applyBorder="1" applyAlignment="1">
      <alignment horizontal="left" vertical="center"/>
    </xf>
    <xf numFmtId="0" fontId="3" fillId="0" borderId="64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44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177" fontId="3" fillId="0" borderId="11" xfId="1" applyNumberFormat="1" applyFont="1" applyBorder="1" applyAlignment="1">
      <alignment vertical="center" shrinkToFit="1"/>
    </xf>
    <xf numFmtId="0" fontId="6" fillId="0" borderId="14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/>
    </xf>
    <xf numFmtId="177" fontId="3" fillId="0" borderId="59" xfId="1" applyNumberFormat="1" applyFont="1" applyBorder="1" applyAlignment="1">
      <alignment vertical="center" shrinkToFit="1"/>
    </xf>
    <xf numFmtId="0" fontId="6" fillId="0" borderId="74" xfId="0" applyFont="1" applyBorder="1" applyAlignment="1">
      <alignment vertical="top" wrapText="1"/>
    </xf>
    <xf numFmtId="179" fontId="3" fillId="0" borderId="11" xfId="1" applyNumberFormat="1" applyFont="1" applyBorder="1" applyAlignment="1">
      <alignment vertical="center"/>
    </xf>
    <xf numFmtId="179" fontId="3" fillId="0" borderId="59" xfId="1" applyNumberFormat="1" applyFont="1" applyBorder="1" applyAlignment="1">
      <alignment vertical="center"/>
    </xf>
    <xf numFmtId="179" fontId="3" fillId="0" borderId="20" xfId="1" applyNumberFormat="1" applyFont="1" applyBorder="1" applyAlignment="1">
      <alignment vertical="center"/>
    </xf>
    <xf numFmtId="179" fontId="3" fillId="2" borderId="22" xfId="1" applyNumberFormat="1" applyFont="1" applyFill="1" applyBorder="1" applyAlignment="1">
      <alignment vertical="center"/>
    </xf>
    <xf numFmtId="179" fontId="3" fillId="2" borderId="30" xfId="1" applyNumberFormat="1" applyFont="1" applyFill="1" applyBorder="1" applyAlignment="1">
      <alignment vertical="center"/>
    </xf>
    <xf numFmtId="179" fontId="3" fillId="2" borderId="23" xfId="1" applyNumberFormat="1" applyFont="1" applyFill="1" applyBorder="1" applyAlignment="1">
      <alignment vertical="center"/>
    </xf>
    <xf numFmtId="179" fontId="3" fillId="2" borderId="33" xfId="1" applyNumberFormat="1" applyFont="1" applyFill="1" applyBorder="1" applyAlignment="1">
      <alignment vertical="center"/>
    </xf>
    <xf numFmtId="179" fontId="3" fillId="2" borderId="32" xfId="1" applyNumberFormat="1" applyFont="1" applyFill="1" applyBorder="1" applyAlignment="1">
      <alignment vertical="center"/>
    </xf>
    <xf numFmtId="179" fontId="3" fillId="2" borderId="31" xfId="1" applyNumberFormat="1" applyFont="1" applyFill="1" applyBorder="1" applyAlignment="1">
      <alignment vertical="center"/>
    </xf>
    <xf numFmtId="179" fontId="3" fillId="2" borderId="7" xfId="1" applyNumberFormat="1" applyFont="1" applyFill="1" applyBorder="1" applyAlignment="1">
      <alignment vertical="center"/>
    </xf>
    <xf numFmtId="179" fontId="3" fillId="2" borderId="61" xfId="1" applyNumberFormat="1" applyFont="1" applyFill="1" applyBorder="1" applyAlignment="1">
      <alignment vertical="center"/>
    </xf>
    <xf numFmtId="179" fontId="3" fillId="2" borderId="44" xfId="1" applyNumberFormat="1" applyFont="1" applyFill="1" applyBorder="1" applyAlignment="1">
      <alignment vertical="center"/>
    </xf>
    <xf numFmtId="179" fontId="3" fillId="2" borderId="37" xfId="1" applyNumberFormat="1" applyFont="1" applyFill="1" applyBorder="1" applyAlignment="1">
      <alignment vertical="center"/>
    </xf>
    <xf numFmtId="179" fontId="3" fillId="2" borderId="62" xfId="1" applyNumberFormat="1" applyFont="1" applyFill="1" applyBorder="1" applyAlignment="1">
      <alignment vertical="center"/>
    </xf>
    <xf numFmtId="179" fontId="3" fillId="2" borderId="27" xfId="1" applyNumberFormat="1" applyFont="1" applyFill="1" applyBorder="1" applyAlignment="1">
      <alignment vertical="center"/>
    </xf>
    <xf numFmtId="179" fontId="3" fillId="0" borderId="66" xfId="1" applyNumberFormat="1" applyFont="1" applyBorder="1" applyAlignment="1">
      <alignment vertical="center"/>
    </xf>
    <xf numFmtId="179" fontId="3" fillId="0" borderId="67" xfId="1" applyNumberFormat="1" applyFont="1" applyBorder="1" applyAlignment="1">
      <alignment vertical="center"/>
    </xf>
    <xf numFmtId="179" fontId="3" fillId="0" borderId="68" xfId="1" applyNumberFormat="1" applyFont="1" applyBorder="1" applyAlignment="1">
      <alignment vertical="center"/>
    </xf>
    <xf numFmtId="180" fontId="3" fillId="0" borderId="59" xfId="1" applyNumberFormat="1" applyFont="1" applyBorder="1" applyAlignment="1">
      <alignment vertical="center" justifyLastLine="1"/>
    </xf>
    <xf numFmtId="180" fontId="3" fillId="2" borderId="30" xfId="1" applyNumberFormat="1" applyFont="1" applyFill="1" applyBorder="1" applyAlignment="1">
      <alignment vertical="center" justifyLastLine="1"/>
    </xf>
    <xf numFmtId="180" fontId="3" fillId="2" borderId="52" xfId="1" applyNumberFormat="1" applyFont="1" applyFill="1" applyBorder="1" applyAlignment="1">
      <alignment vertical="center" justifyLastLine="1"/>
    </xf>
    <xf numFmtId="180" fontId="3" fillId="2" borderId="63" xfId="1" applyNumberFormat="1" applyFont="1" applyFill="1" applyBorder="1" applyAlignment="1">
      <alignment vertical="center" justifyLastLine="1"/>
    </xf>
    <xf numFmtId="180" fontId="3" fillId="0" borderId="67" xfId="1" applyNumberFormat="1" applyFont="1" applyBorder="1" applyAlignment="1">
      <alignment vertical="center" justifyLastLine="1"/>
    </xf>
    <xf numFmtId="176" fontId="3" fillId="0" borderId="9" xfId="2" applyNumberFormat="1" applyFont="1" applyBorder="1" applyAlignment="1">
      <alignment horizontal="right" vertical="center" justifyLastLine="1"/>
    </xf>
    <xf numFmtId="176" fontId="3" fillId="2" borderId="72" xfId="0" applyNumberFormat="1" applyFont="1" applyFill="1" applyBorder="1" applyAlignment="1">
      <alignment horizontal="right" vertical="center" justifyLastLine="1"/>
    </xf>
    <xf numFmtId="176" fontId="3" fillId="2" borderId="54" xfId="0" applyNumberFormat="1" applyFont="1" applyFill="1" applyBorder="1" applyAlignment="1">
      <alignment horizontal="right" vertical="center" justifyLastLine="1"/>
    </xf>
    <xf numFmtId="176" fontId="3" fillId="2" borderId="71" xfId="0" applyNumberFormat="1" applyFont="1" applyFill="1" applyBorder="1" applyAlignment="1">
      <alignment horizontal="right" vertical="center" justifyLastLine="1"/>
    </xf>
    <xf numFmtId="176" fontId="3" fillId="2" borderId="5" xfId="0" applyNumberFormat="1" applyFont="1" applyFill="1" applyBorder="1" applyAlignment="1">
      <alignment horizontal="right" vertical="center" justifyLastLine="1"/>
    </xf>
    <xf numFmtId="176" fontId="3" fillId="0" borderId="9" xfId="0" applyNumberFormat="1" applyFont="1" applyBorder="1" applyAlignment="1">
      <alignment horizontal="right" vertical="center" justifyLastLine="1"/>
    </xf>
    <xf numFmtId="176" fontId="3" fillId="2" borderId="3" xfId="0" applyNumberFormat="1" applyFont="1" applyFill="1" applyBorder="1" applyAlignment="1">
      <alignment horizontal="right" vertical="center" justifyLastLine="1"/>
    </xf>
    <xf numFmtId="176" fontId="3" fillId="0" borderId="1" xfId="0" applyNumberFormat="1" applyFont="1" applyBorder="1" applyAlignment="1">
      <alignment horizontal="right" vertical="center" justifyLastLine="1"/>
    </xf>
    <xf numFmtId="0" fontId="6" fillId="0" borderId="8" xfId="0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right" vertical="center"/>
    </xf>
    <xf numFmtId="176" fontId="3" fillId="2" borderId="16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176" fontId="3" fillId="0" borderId="10" xfId="1" applyNumberFormat="1" applyFont="1" applyBorder="1" applyAlignment="1">
      <alignment vertical="center" shrinkToFit="1"/>
    </xf>
    <xf numFmtId="176" fontId="3" fillId="2" borderId="73" xfId="1" applyNumberFormat="1" applyFont="1" applyFill="1" applyBorder="1" applyAlignment="1">
      <alignment horizontal="right" vertical="center" justifyLastLine="1"/>
    </xf>
    <xf numFmtId="176" fontId="3" fillId="0" borderId="10" xfId="0" applyNumberFormat="1" applyFont="1" applyBorder="1" applyAlignment="1">
      <alignment horizontal="right" vertical="center" justifyLastLine="1"/>
    </xf>
    <xf numFmtId="176" fontId="3" fillId="0" borderId="10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right" vertical="center" justifyLastLine="1"/>
    </xf>
    <xf numFmtId="0" fontId="6" fillId="0" borderId="34" xfId="0" applyFont="1" applyBorder="1" applyAlignment="1">
      <alignment vertical="top" wrapText="1"/>
    </xf>
    <xf numFmtId="0" fontId="6" fillId="0" borderId="44" xfId="0" applyFont="1" applyBorder="1" applyAlignment="1">
      <alignment horizontal="center" vertical="center" wrapText="1"/>
    </xf>
    <xf numFmtId="176" fontId="3" fillId="0" borderId="20" xfId="0" applyNumberFormat="1" applyFont="1" applyBorder="1" applyAlignment="1">
      <alignment horizontal="right" vertical="center"/>
    </xf>
    <xf numFmtId="176" fontId="3" fillId="2" borderId="23" xfId="0" applyNumberFormat="1" applyFont="1" applyFill="1" applyBorder="1" applyAlignment="1">
      <alignment horizontal="right" vertical="center"/>
    </xf>
    <xf numFmtId="0" fontId="3" fillId="0" borderId="27" xfId="0" applyFont="1" applyBorder="1" applyAlignment="1">
      <alignment horizontal="center" vertical="center" shrinkToFit="1"/>
    </xf>
    <xf numFmtId="177" fontId="3" fillId="0" borderId="59" xfId="0" applyNumberFormat="1" applyFont="1" applyBorder="1" applyAlignment="1">
      <alignment vertical="center" shrinkToFit="1"/>
    </xf>
    <xf numFmtId="179" fontId="3" fillId="2" borderId="50" xfId="1" applyNumberFormat="1" applyFont="1" applyFill="1" applyBorder="1" applyAlignment="1">
      <alignment vertical="center"/>
    </xf>
    <xf numFmtId="179" fontId="3" fillId="2" borderId="52" xfId="1" applyNumberFormat="1" applyFont="1" applyFill="1" applyBorder="1" applyAlignment="1">
      <alignment vertical="center"/>
    </xf>
    <xf numFmtId="179" fontId="3" fillId="2" borderId="51" xfId="1" applyNumberFormat="1" applyFont="1" applyFill="1" applyBorder="1" applyAlignment="1">
      <alignment vertical="center"/>
    </xf>
    <xf numFmtId="176" fontId="3" fillId="2" borderId="78" xfId="1" applyNumberFormat="1" applyFont="1" applyFill="1" applyBorder="1" applyAlignment="1">
      <alignment horizontal="right" vertical="center" justifyLastLine="1"/>
    </xf>
    <xf numFmtId="176" fontId="3" fillId="2" borderId="51" xfId="0" applyNumberFormat="1" applyFont="1" applyFill="1" applyBorder="1" applyAlignment="1">
      <alignment horizontal="right" vertical="center"/>
    </xf>
    <xf numFmtId="176" fontId="3" fillId="2" borderId="79" xfId="0" applyNumberFormat="1" applyFont="1" applyFill="1" applyBorder="1" applyAlignment="1">
      <alignment horizontal="right" vertical="center"/>
    </xf>
    <xf numFmtId="176" fontId="3" fillId="2" borderId="80" xfId="1" applyNumberFormat="1" applyFont="1" applyFill="1" applyBorder="1" applyAlignment="1">
      <alignment horizontal="right" vertical="center" justifyLastLine="1"/>
    </xf>
    <xf numFmtId="176" fontId="3" fillId="2" borderId="34" xfId="0" applyNumberFormat="1" applyFont="1" applyFill="1" applyBorder="1" applyAlignment="1">
      <alignment horizontal="right" vertical="center"/>
    </xf>
    <xf numFmtId="176" fontId="3" fillId="2" borderId="81" xfId="0" applyNumberFormat="1" applyFont="1" applyFill="1" applyBorder="1" applyAlignment="1">
      <alignment horizontal="right" vertical="center"/>
    </xf>
    <xf numFmtId="178" fontId="3" fillId="2" borderId="21" xfId="1" applyNumberFormat="1" applyFont="1" applyFill="1" applyBorder="1" applyAlignment="1">
      <alignment horizontal="right" vertical="center" shrinkToFit="1"/>
    </xf>
    <xf numFmtId="178" fontId="3" fillId="2" borderId="30" xfId="1" applyNumberFormat="1" applyFont="1" applyFill="1" applyBorder="1" applyAlignment="1">
      <alignment horizontal="right" vertical="center" shrinkToFit="1"/>
    </xf>
    <xf numFmtId="178" fontId="3" fillId="2" borderId="22" xfId="1" applyNumberFormat="1" applyFont="1" applyFill="1" applyBorder="1" applyAlignment="1">
      <alignment horizontal="right" vertical="center" shrinkToFit="1"/>
    </xf>
    <xf numFmtId="178" fontId="3" fillId="2" borderId="21" xfId="0" applyNumberFormat="1" applyFont="1" applyFill="1" applyBorder="1" applyAlignment="1">
      <alignment horizontal="right" vertical="center" shrinkToFit="1"/>
    </xf>
    <xf numFmtId="178" fontId="3" fillId="2" borderId="30" xfId="0" applyNumberFormat="1" applyFont="1" applyFill="1" applyBorder="1" applyAlignment="1">
      <alignment horizontal="right" vertical="center" shrinkToFit="1"/>
    </xf>
    <xf numFmtId="178" fontId="3" fillId="2" borderId="22" xfId="0" applyNumberFormat="1" applyFont="1" applyFill="1" applyBorder="1" applyAlignment="1">
      <alignment horizontal="right" vertical="center" shrinkToFit="1"/>
    </xf>
    <xf numFmtId="178" fontId="3" fillId="2" borderId="49" xfId="0" applyNumberFormat="1" applyFont="1" applyFill="1" applyBorder="1" applyAlignment="1">
      <alignment horizontal="right" vertical="center" shrinkToFit="1"/>
    </xf>
    <xf numFmtId="178" fontId="3" fillId="2" borderId="52" xfId="0" applyNumberFormat="1" applyFont="1" applyFill="1" applyBorder="1" applyAlignment="1">
      <alignment horizontal="right" vertical="center" shrinkToFit="1"/>
    </xf>
    <xf numFmtId="178" fontId="3" fillId="2" borderId="50" xfId="0" applyNumberFormat="1" applyFont="1" applyFill="1" applyBorder="1" applyAlignment="1">
      <alignment horizontal="right" vertical="center" shrinkToFit="1"/>
    </xf>
    <xf numFmtId="177" fontId="3" fillId="0" borderId="15" xfId="0" applyNumberFormat="1" applyFont="1" applyBorder="1" applyAlignment="1">
      <alignment vertical="center" shrinkToFit="1"/>
    </xf>
    <xf numFmtId="177" fontId="3" fillId="0" borderId="11" xfId="0" applyNumberFormat="1" applyFont="1" applyBorder="1" applyAlignment="1">
      <alignment horizontal="right" vertical="center" shrinkToFit="1"/>
    </xf>
    <xf numFmtId="178" fontId="3" fillId="2" borderId="40" xfId="0" applyNumberFormat="1" applyFont="1" applyFill="1" applyBorder="1" applyAlignment="1">
      <alignment horizontal="right" vertical="center" shrinkToFit="1"/>
    </xf>
    <xf numFmtId="178" fontId="3" fillId="2" borderId="33" xfId="0" applyNumberFormat="1" applyFont="1" applyFill="1" applyBorder="1" applyAlignment="1">
      <alignment horizontal="right" vertical="center" shrinkToFit="1"/>
    </xf>
    <xf numFmtId="178" fontId="3" fillId="2" borderId="36" xfId="0" applyNumberFormat="1" applyFont="1" applyFill="1" applyBorder="1" applyAlignment="1">
      <alignment horizontal="right" vertical="center" shrinkToFit="1"/>
    </xf>
    <xf numFmtId="178" fontId="3" fillId="2" borderId="39" xfId="0" applyNumberFormat="1" applyFont="1" applyFill="1" applyBorder="1" applyAlignment="1">
      <alignment horizontal="right" vertical="center" shrinkToFit="1"/>
    </xf>
    <xf numFmtId="178" fontId="3" fillId="2" borderId="37" xfId="0" applyNumberFormat="1" applyFont="1" applyFill="1" applyBorder="1" applyAlignment="1">
      <alignment horizontal="right" vertical="center" shrinkToFit="1"/>
    </xf>
    <xf numFmtId="178" fontId="3" fillId="2" borderId="32" xfId="0" applyNumberFormat="1" applyFont="1" applyFill="1" applyBorder="1" applyAlignment="1">
      <alignment horizontal="right" vertical="center" shrinkToFit="1"/>
    </xf>
    <xf numFmtId="178" fontId="3" fillId="2" borderId="62" xfId="0" applyNumberFormat="1" applyFont="1" applyFill="1" applyBorder="1" applyAlignment="1">
      <alignment horizontal="right" vertical="center" shrinkToFit="1"/>
    </xf>
    <xf numFmtId="177" fontId="3" fillId="0" borderId="13" xfId="0" applyNumberFormat="1" applyFont="1" applyBorder="1" applyAlignment="1">
      <alignment vertical="center" shrinkToFit="1"/>
    </xf>
    <xf numFmtId="177" fontId="3" fillId="0" borderId="66" xfId="0" applyNumberFormat="1" applyFont="1" applyBorder="1" applyAlignment="1">
      <alignment horizontal="right" vertical="center" shrinkToFit="1"/>
    </xf>
    <xf numFmtId="178" fontId="3" fillId="2" borderId="14" xfId="0" applyNumberFormat="1" applyFont="1" applyFill="1" applyBorder="1" applyAlignment="1">
      <alignment horizontal="right" vertical="center" shrinkToFit="1"/>
    </xf>
    <xf numFmtId="178" fontId="3" fillId="2" borderId="61" xfId="0" applyNumberFormat="1" applyFont="1" applyFill="1" applyBorder="1" applyAlignment="1">
      <alignment horizontal="right" vertical="center" shrinkToFit="1"/>
    </xf>
    <xf numFmtId="178" fontId="3" fillId="2" borderId="7" xfId="0" applyNumberFormat="1" applyFont="1" applyFill="1" applyBorder="1" applyAlignment="1">
      <alignment horizontal="right" vertical="center" shrinkToFit="1"/>
    </xf>
    <xf numFmtId="176" fontId="3" fillId="0" borderId="68" xfId="0" applyNumberFormat="1" applyFont="1" applyBorder="1" applyAlignment="1">
      <alignment horizontal="right" vertical="center"/>
    </xf>
    <xf numFmtId="176" fontId="3" fillId="0" borderId="82" xfId="0" applyNumberFormat="1" applyFont="1" applyBorder="1" applyAlignment="1">
      <alignment horizontal="right" vertical="center"/>
    </xf>
    <xf numFmtId="0" fontId="7" fillId="0" borderId="0" xfId="0" applyFont="1"/>
    <xf numFmtId="178" fontId="3" fillId="0" borderId="67" xfId="0" applyNumberFormat="1" applyFont="1" applyBorder="1" applyAlignment="1">
      <alignment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top" wrapText="1" shrinkToFit="1"/>
    </xf>
    <xf numFmtId="0" fontId="6" fillId="0" borderId="34" xfId="0" applyFont="1" applyBorder="1" applyAlignment="1">
      <alignment horizontal="center" vertical="top" wrapText="1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179" fontId="3" fillId="0" borderId="84" xfId="1" applyNumberFormat="1" applyFont="1" applyBorder="1" applyAlignment="1">
      <alignment vertical="center"/>
    </xf>
    <xf numFmtId="180" fontId="3" fillId="0" borderId="84" xfId="1" applyNumberFormat="1" applyFont="1" applyBorder="1" applyAlignment="1">
      <alignment vertical="center" justifyLastLine="1"/>
    </xf>
    <xf numFmtId="177" fontId="3" fillId="0" borderId="85" xfId="0" applyNumberFormat="1" applyFont="1" applyBorder="1" applyAlignment="1">
      <alignment vertical="center" shrinkToFit="1"/>
    </xf>
    <xf numFmtId="176" fontId="3" fillId="0" borderId="83" xfId="0" applyNumberFormat="1" applyFont="1" applyBorder="1" applyAlignment="1">
      <alignment horizontal="right" vertical="center" justifyLastLine="1"/>
    </xf>
    <xf numFmtId="176" fontId="3" fillId="0" borderId="86" xfId="0" applyNumberFormat="1" applyFont="1" applyBorder="1" applyAlignment="1">
      <alignment horizontal="right" vertical="center" justifyLastLine="1"/>
    </xf>
    <xf numFmtId="179" fontId="3" fillId="0" borderId="13" xfId="1" applyNumberFormat="1" applyFont="1" applyBorder="1" applyAlignment="1">
      <alignment vertical="center"/>
    </xf>
    <xf numFmtId="178" fontId="3" fillId="0" borderId="66" xfId="0" applyNumberFormat="1" applyFont="1" applyBorder="1" applyAlignment="1">
      <alignment vertical="center" shrinkToFit="1"/>
    </xf>
    <xf numFmtId="177" fontId="3" fillId="0" borderId="68" xfId="0" applyNumberFormat="1" applyFont="1" applyBorder="1" applyAlignment="1">
      <alignment horizontal="right" vertical="center" shrinkToFit="1"/>
    </xf>
    <xf numFmtId="176" fontId="3" fillId="0" borderId="87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178" fontId="3" fillId="0" borderId="62" xfId="0" applyNumberFormat="1" applyFont="1" applyBorder="1" applyAlignment="1">
      <alignment vertical="center" shrinkToFit="1"/>
    </xf>
    <xf numFmtId="0" fontId="3" fillId="0" borderId="88" xfId="0" applyFont="1" applyBorder="1" applyAlignment="1">
      <alignment horizontal="center" vertical="center" shrinkToFit="1"/>
    </xf>
    <xf numFmtId="179" fontId="3" fillId="0" borderId="37" xfId="1" applyNumberFormat="1" applyFont="1" applyBorder="1" applyAlignment="1">
      <alignment vertical="center"/>
    </xf>
    <xf numFmtId="179" fontId="3" fillId="0" borderId="88" xfId="1" applyNumberFormat="1" applyFont="1" applyBorder="1" applyAlignment="1">
      <alignment vertical="center"/>
    </xf>
    <xf numFmtId="180" fontId="3" fillId="0" borderId="85" xfId="1" applyNumberFormat="1" applyFont="1" applyBorder="1" applyAlignment="1">
      <alignment vertical="center" justifyLastLine="1"/>
    </xf>
    <xf numFmtId="180" fontId="3" fillId="0" borderId="19" xfId="1" applyNumberFormat="1" applyFont="1" applyBorder="1" applyAlignment="1">
      <alignment vertical="center" justifyLastLine="1"/>
    </xf>
    <xf numFmtId="176" fontId="3" fillId="0" borderId="13" xfId="0" applyNumberFormat="1" applyFont="1" applyBorder="1" applyAlignment="1">
      <alignment horizontal="right" vertical="center" justifyLastLine="1"/>
    </xf>
    <xf numFmtId="0" fontId="3" fillId="0" borderId="42" xfId="0" applyFont="1" applyBorder="1" applyAlignment="1">
      <alignment horizontal="center" vertical="center" shrinkToFit="1"/>
    </xf>
    <xf numFmtId="179" fontId="3" fillId="0" borderId="85" xfId="1" applyNumberFormat="1" applyFont="1" applyBorder="1" applyAlignment="1">
      <alignment vertical="center"/>
    </xf>
    <xf numFmtId="179" fontId="3" fillId="0" borderId="27" xfId="1" applyNumberFormat="1" applyFont="1" applyBorder="1" applyAlignment="1">
      <alignment vertical="center"/>
    </xf>
    <xf numFmtId="180" fontId="3" fillId="0" borderId="68" xfId="1" applyNumberFormat="1" applyFont="1" applyBorder="1" applyAlignment="1">
      <alignment vertical="center" justifyLastLine="1"/>
    </xf>
    <xf numFmtId="176" fontId="3" fillId="0" borderId="36" xfId="0" applyNumberFormat="1" applyFont="1" applyBorder="1" applyAlignment="1">
      <alignment horizontal="right" vertical="center" justifyLastLine="1"/>
    </xf>
    <xf numFmtId="176" fontId="3" fillId="0" borderId="27" xfId="0" applyNumberFormat="1" applyFont="1" applyBorder="1" applyAlignment="1">
      <alignment horizontal="right" vertical="center"/>
    </xf>
    <xf numFmtId="0" fontId="3" fillId="0" borderId="66" xfId="0" applyFont="1" applyBorder="1" applyAlignment="1">
      <alignment horizontal="center" vertical="center" shrinkToFit="1"/>
    </xf>
    <xf numFmtId="180" fontId="3" fillId="0" borderId="13" xfId="1" applyNumberFormat="1" applyFont="1" applyBorder="1" applyAlignment="1">
      <alignment vertical="center" justifyLastLine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77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2" borderId="72" xfId="0" applyFont="1" applyFill="1" applyBorder="1" applyAlignment="1">
      <alignment horizontal="left" vertical="center"/>
    </xf>
    <xf numFmtId="0" fontId="3" fillId="2" borderId="71" xfId="0" applyFont="1" applyFill="1" applyBorder="1" applyAlignment="1">
      <alignment horizontal="left" vertical="center"/>
    </xf>
    <xf numFmtId="0" fontId="6" fillId="0" borderId="58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46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top" wrapText="1" shrinkToFit="1"/>
    </xf>
    <xf numFmtId="0" fontId="6" fillId="0" borderId="14" xfId="0" applyFont="1" applyBorder="1" applyAlignment="1">
      <alignment horizontal="center" vertical="top" wrapText="1" shrinkToFit="1"/>
    </xf>
    <xf numFmtId="0" fontId="6" fillId="0" borderId="39" xfId="0" applyFont="1" applyBorder="1" applyAlignment="1">
      <alignment horizontal="center" vertical="top" wrapText="1" shrinkToFit="1"/>
    </xf>
    <xf numFmtId="0" fontId="6" fillId="0" borderId="7" xfId="0" applyFont="1" applyBorder="1" applyAlignment="1">
      <alignment horizontal="center" vertical="top" wrapText="1" shrinkToFit="1"/>
    </xf>
    <xf numFmtId="0" fontId="6" fillId="0" borderId="70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top" wrapText="1" shrinkToFit="1"/>
    </xf>
    <xf numFmtId="0" fontId="6" fillId="0" borderId="44" xfId="0" applyFont="1" applyBorder="1" applyAlignment="1">
      <alignment horizontal="center" vertical="top" wrapText="1" shrinkToFit="1"/>
    </xf>
    <xf numFmtId="0" fontId="6" fillId="0" borderId="38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34" xfId="0" applyFont="1" applyBorder="1" applyAlignment="1">
      <alignment horizontal="center" vertical="top" wrapText="1"/>
    </xf>
    <xf numFmtId="0" fontId="6" fillId="0" borderId="44" xfId="0" applyFont="1" applyBorder="1" applyAlignment="1">
      <alignment horizontal="center" vertical="top" wrapText="1"/>
    </xf>
    <xf numFmtId="0" fontId="6" fillId="0" borderId="75" xfId="0" applyFont="1" applyBorder="1" applyAlignment="1">
      <alignment horizontal="left" vertical="top" wrapText="1"/>
    </xf>
    <xf numFmtId="0" fontId="6" fillId="0" borderId="76" xfId="0" applyFont="1" applyBorder="1" applyAlignment="1">
      <alignment horizontal="left" vertical="top" wrapText="1"/>
    </xf>
    <xf numFmtId="0" fontId="3" fillId="0" borderId="42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2" borderId="5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0" borderId="43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left" vertical="center"/>
    </xf>
  </cellXfs>
  <cellStyles count="4">
    <cellStyle name="パーセント" xfId="2" builtinId="5"/>
    <cellStyle name="桁区切り" xfId="1" builtinId="6"/>
    <cellStyle name="桁区切り 2" xfId="3" xr:uid="{962C1CD8-F737-4BF4-9CF2-B864A02D25DA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theme="0"/>
  </sheetPr>
  <dimension ref="A1:P104"/>
  <sheetViews>
    <sheetView tabSelected="1" zoomScaleNormal="100" zoomScaleSheetLayoutView="130" workbookViewId="0">
      <pane xSplit="3" ySplit="3" topLeftCell="D37" activePane="bottomRight" state="frozen"/>
      <selection pane="topRight" activeCell="D1" sqref="D1"/>
      <selection pane="bottomLeft" activeCell="A4" sqref="A4"/>
      <selection pane="bottomRight" activeCell="S43" sqref="S43"/>
    </sheetView>
  </sheetViews>
  <sheetFormatPr defaultRowHeight="13.2" x14ac:dyDescent="0.2"/>
  <cols>
    <col min="1" max="2" width="7.44140625" customWidth="1"/>
    <col min="3" max="3" width="6.33203125" customWidth="1"/>
    <col min="4" max="4" width="11" style="3" customWidth="1"/>
    <col min="5" max="7" width="8.77734375" customWidth="1"/>
    <col min="8" max="12" width="9.33203125" customWidth="1"/>
    <col min="13" max="13" width="7.109375" customWidth="1"/>
    <col min="14" max="14" width="7.88671875" customWidth="1"/>
    <col min="15" max="15" width="8.44140625" customWidth="1"/>
    <col min="16" max="16" width="10.109375" customWidth="1"/>
  </cols>
  <sheetData>
    <row r="1" spans="1:16" ht="12" customHeight="1" x14ac:dyDescent="0.2">
      <c r="A1" s="148" t="s">
        <v>0</v>
      </c>
      <c r="B1" s="151" t="s">
        <v>1</v>
      </c>
      <c r="C1" s="154" t="s">
        <v>2</v>
      </c>
      <c r="D1" s="157" t="s">
        <v>3</v>
      </c>
      <c r="E1" s="146" t="s">
        <v>4</v>
      </c>
      <c r="F1" s="147"/>
      <c r="G1" s="164"/>
      <c r="H1" s="144" t="s">
        <v>5</v>
      </c>
      <c r="I1" s="145"/>
      <c r="J1" s="146" t="s">
        <v>6</v>
      </c>
      <c r="K1" s="147"/>
      <c r="L1" s="147"/>
      <c r="M1" s="140" t="s">
        <v>7</v>
      </c>
      <c r="N1" s="171" t="s">
        <v>8</v>
      </c>
      <c r="O1" s="172"/>
      <c r="P1" s="142" t="s">
        <v>9</v>
      </c>
    </row>
    <row r="2" spans="1:16" ht="21" customHeight="1" x14ac:dyDescent="0.2">
      <c r="A2" s="149"/>
      <c r="B2" s="152"/>
      <c r="C2" s="155"/>
      <c r="D2" s="158"/>
      <c r="E2" s="160" t="s">
        <v>10</v>
      </c>
      <c r="F2" s="162" t="s">
        <v>11</v>
      </c>
      <c r="G2" s="165" t="s">
        <v>12</v>
      </c>
      <c r="H2" s="100" t="s">
        <v>13</v>
      </c>
      <c r="I2" s="101" t="s">
        <v>14</v>
      </c>
      <c r="J2" s="167" t="s">
        <v>15</v>
      </c>
      <c r="K2" s="162" t="s">
        <v>16</v>
      </c>
      <c r="L2" s="169" t="s">
        <v>17</v>
      </c>
      <c r="M2" s="141"/>
      <c r="N2" s="15"/>
      <c r="O2" s="56" t="s">
        <v>18</v>
      </c>
      <c r="P2" s="143"/>
    </row>
    <row r="3" spans="1:16" x14ac:dyDescent="0.2">
      <c r="A3" s="150"/>
      <c r="B3" s="153"/>
      <c r="C3" s="156"/>
      <c r="D3" s="159"/>
      <c r="E3" s="161"/>
      <c r="F3" s="163"/>
      <c r="G3" s="166"/>
      <c r="H3" s="11" t="s">
        <v>19</v>
      </c>
      <c r="I3" s="12" t="s">
        <v>20</v>
      </c>
      <c r="J3" s="168"/>
      <c r="K3" s="163"/>
      <c r="L3" s="170"/>
      <c r="M3" s="13" t="s">
        <v>21</v>
      </c>
      <c r="N3" s="50" t="s">
        <v>22</v>
      </c>
      <c r="O3" s="57" t="s">
        <v>23</v>
      </c>
      <c r="P3" s="47" t="s">
        <v>24</v>
      </c>
    </row>
    <row r="4" spans="1:16" ht="22.5" customHeight="1" x14ac:dyDescent="0.2">
      <c r="A4" s="130">
        <v>1985</v>
      </c>
      <c r="B4" s="133" t="s">
        <v>25</v>
      </c>
      <c r="C4" s="136" t="s">
        <v>26</v>
      </c>
      <c r="D4" s="4" t="s">
        <v>27</v>
      </c>
      <c r="E4" s="16">
        <v>50000</v>
      </c>
      <c r="F4" s="17">
        <v>36639</v>
      </c>
      <c r="G4" s="18">
        <v>35242</v>
      </c>
      <c r="H4" s="34">
        <f>ROUND(G4/E4*100,2)</f>
        <v>70.48</v>
      </c>
      <c r="I4" s="34">
        <f t="shared" ref="I4:I35" si="0">ROUND(G4/F4*100,2)</f>
        <v>96.19</v>
      </c>
      <c r="J4" s="2">
        <v>2485</v>
      </c>
      <c r="K4" s="14">
        <v>9372</v>
      </c>
      <c r="L4" s="10">
        <v>2285</v>
      </c>
      <c r="M4" s="39">
        <f t="shared" ref="M4:M35" si="1">ROUND(L4/J4*100,2)</f>
        <v>91.95</v>
      </c>
      <c r="N4" s="51">
        <f>ROUNDDOWN(J4*1000/365,0)</f>
        <v>6808</v>
      </c>
      <c r="O4" s="58">
        <f>ROUND(J4*1000000/G4/365,0)</f>
        <v>193</v>
      </c>
      <c r="P4" s="48">
        <f>ROUND(L4*1000000/G4/365,0)</f>
        <v>178</v>
      </c>
    </row>
    <row r="5" spans="1:16" ht="22.5" customHeight="1" x14ac:dyDescent="0.2">
      <c r="A5" s="131"/>
      <c r="B5" s="134"/>
      <c r="C5" s="137"/>
      <c r="D5" s="138" t="s">
        <v>28</v>
      </c>
      <c r="E5" s="19">
        <v>7930</v>
      </c>
      <c r="F5" s="20">
        <v>3676</v>
      </c>
      <c r="G5" s="21">
        <v>2539</v>
      </c>
      <c r="H5" s="35">
        <f t="shared" ref="H5:H64" si="2">ROUND(G5/E5*100,2)</f>
        <v>32.020000000000003</v>
      </c>
      <c r="I5" s="35">
        <f t="shared" si="0"/>
        <v>69.069999999999993</v>
      </c>
      <c r="J5" s="71">
        <v>281093</v>
      </c>
      <c r="K5" s="72">
        <f>276+5885</f>
        <v>6161</v>
      </c>
      <c r="L5" s="73">
        <v>217024</v>
      </c>
      <c r="M5" s="40">
        <f t="shared" si="1"/>
        <v>77.209999999999994</v>
      </c>
      <c r="N5" s="52">
        <f>ROUNDDOWN(J5/365,0)</f>
        <v>770</v>
      </c>
      <c r="O5" s="59">
        <f>ROUND(J5*1000/G5/365,0)</f>
        <v>303</v>
      </c>
      <c r="P5" s="49">
        <f>ROUND(L5*1000/G5/365,0)</f>
        <v>234</v>
      </c>
    </row>
    <row r="6" spans="1:16" ht="22.5" customHeight="1" x14ac:dyDescent="0.2">
      <c r="A6" s="131"/>
      <c r="B6" s="134"/>
      <c r="C6" s="99" t="s">
        <v>29</v>
      </c>
      <c r="D6" s="138"/>
      <c r="E6" s="19">
        <v>3150</v>
      </c>
      <c r="F6" s="20">
        <v>2662</v>
      </c>
      <c r="G6" s="21">
        <v>2567</v>
      </c>
      <c r="H6" s="35">
        <f t="shared" si="2"/>
        <v>81.489999999999995</v>
      </c>
      <c r="I6" s="35">
        <f t="shared" si="0"/>
        <v>96.43</v>
      </c>
      <c r="J6" s="74">
        <v>272689</v>
      </c>
      <c r="K6" s="75">
        <f>475</f>
        <v>475</v>
      </c>
      <c r="L6" s="76">
        <v>180802</v>
      </c>
      <c r="M6" s="40">
        <f t="shared" si="1"/>
        <v>66.3</v>
      </c>
      <c r="N6" s="52">
        <f>ROUNDDOWN(J6/365,0)</f>
        <v>747</v>
      </c>
      <c r="O6" s="59">
        <f t="shared" ref="O6:O7" si="3">ROUND(J6*1000/G6/365,0)</f>
        <v>291</v>
      </c>
      <c r="P6" s="49">
        <f t="shared" ref="P6:P7" si="4">ROUND(L6*1000/G6/365,0)</f>
        <v>193</v>
      </c>
    </row>
    <row r="7" spans="1:16" ht="22.5" customHeight="1" x14ac:dyDescent="0.2">
      <c r="A7" s="132"/>
      <c r="B7" s="135"/>
      <c r="C7" s="1" t="s">
        <v>30</v>
      </c>
      <c r="D7" s="139"/>
      <c r="E7" s="62">
        <v>4240</v>
      </c>
      <c r="F7" s="63">
        <v>2973</v>
      </c>
      <c r="G7" s="64">
        <v>2934</v>
      </c>
      <c r="H7" s="36">
        <f t="shared" si="2"/>
        <v>69.2</v>
      </c>
      <c r="I7" s="36">
        <f t="shared" si="0"/>
        <v>98.69</v>
      </c>
      <c r="J7" s="77">
        <v>284408</v>
      </c>
      <c r="K7" s="78">
        <f>495+686</f>
        <v>1181</v>
      </c>
      <c r="L7" s="79">
        <v>250370</v>
      </c>
      <c r="M7" s="42">
        <f t="shared" si="1"/>
        <v>88.03</v>
      </c>
      <c r="N7" s="65">
        <f>ROUNDDOWN(J7/365,0)</f>
        <v>779</v>
      </c>
      <c r="O7" s="66">
        <f t="shared" si="3"/>
        <v>266</v>
      </c>
      <c r="P7" s="67">
        <f t="shared" si="4"/>
        <v>234</v>
      </c>
    </row>
    <row r="8" spans="1:16" ht="22.5" customHeight="1" x14ac:dyDescent="0.2">
      <c r="A8" s="130">
        <v>1986</v>
      </c>
      <c r="B8" s="133" t="s">
        <v>31</v>
      </c>
      <c r="C8" s="136" t="s">
        <v>26</v>
      </c>
      <c r="D8" s="4" t="s">
        <v>27</v>
      </c>
      <c r="E8" s="16">
        <v>50000</v>
      </c>
      <c r="F8" s="17">
        <v>38240</v>
      </c>
      <c r="G8" s="18">
        <v>36946</v>
      </c>
      <c r="H8" s="34">
        <f t="shared" si="2"/>
        <v>73.89</v>
      </c>
      <c r="I8" s="34">
        <f t="shared" si="0"/>
        <v>96.62</v>
      </c>
      <c r="J8" s="80">
        <v>2538</v>
      </c>
      <c r="K8" s="61">
        <v>9660</v>
      </c>
      <c r="L8" s="81">
        <v>2343</v>
      </c>
      <c r="M8" s="44">
        <f t="shared" si="1"/>
        <v>92.32</v>
      </c>
      <c r="N8" s="53">
        <f>ROUNDDOWN(J8*1000/365,0)</f>
        <v>6953</v>
      </c>
      <c r="O8" s="58">
        <f>ROUND(J8*1000000/G8/365,0)</f>
        <v>188</v>
      </c>
      <c r="P8" s="48">
        <f>ROUND(L8*1000000/G8/365,0)</f>
        <v>174</v>
      </c>
    </row>
    <row r="9" spans="1:16" ht="22.5" customHeight="1" x14ac:dyDescent="0.2">
      <c r="A9" s="131"/>
      <c r="B9" s="134"/>
      <c r="C9" s="137"/>
      <c r="D9" s="138" t="s">
        <v>28</v>
      </c>
      <c r="E9" s="19">
        <v>7930</v>
      </c>
      <c r="F9" s="20">
        <v>3712</v>
      </c>
      <c r="G9" s="21">
        <v>2792</v>
      </c>
      <c r="H9" s="35">
        <f t="shared" si="2"/>
        <v>35.21</v>
      </c>
      <c r="I9" s="35">
        <f t="shared" si="0"/>
        <v>75.22</v>
      </c>
      <c r="J9" s="74">
        <v>299212</v>
      </c>
      <c r="K9" s="75">
        <f>250+6260+507</f>
        <v>7017</v>
      </c>
      <c r="L9" s="76">
        <v>235822</v>
      </c>
      <c r="M9" s="40">
        <f t="shared" si="1"/>
        <v>78.81</v>
      </c>
      <c r="N9" s="52">
        <f>ROUNDDOWN(J9/365,0)</f>
        <v>819</v>
      </c>
      <c r="O9" s="59">
        <f t="shared" ref="O9:O11" si="5">ROUND(J9*1000/G9/365,0)</f>
        <v>294</v>
      </c>
      <c r="P9" s="49">
        <f t="shared" ref="P9:P11" si="6">ROUND(L9*1000/G9/365,0)</f>
        <v>231</v>
      </c>
    </row>
    <row r="10" spans="1:16" ht="22.5" customHeight="1" x14ac:dyDescent="0.2">
      <c r="A10" s="131"/>
      <c r="B10" s="134"/>
      <c r="C10" s="99" t="s">
        <v>29</v>
      </c>
      <c r="D10" s="138"/>
      <c r="E10" s="19">
        <v>3150</v>
      </c>
      <c r="F10" s="20">
        <v>2586</v>
      </c>
      <c r="G10" s="21">
        <v>2506</v>
      </c>
      <c r="H10" s="35">
        <f t="shared" si="2"/>
        <v>79.56</v>
      </c>
      <c r="I10" s="35">
        <f t="shared" si="0"/>
        <v>96.91</v>
      </c>
      <c r="J10" s="74">
        <v>248648</v>
      </c>
      <c r="K10" s="75">
        <f>486</f>
        <v>486</v>
      </c>
      <c r="L10" s="76">
        <v>167717</v>
      </c>
      <c r="M10" s="40">
        <f t="shared" si="1"/>
        <v>67.45</v>
      </c>
      <c r="N10" s="52">
        <f>ROUNDDOWN(J10/365,0)</f>
        <v>681</v>
      </c>
      <c r="O10" s="59">
        <f t="shared" si="5"/>
        <v>272</v>
      </c>
      <c r="P10" s="49">
        <f t="shared" si="6"/>
        <v>183</v>
      </c>
    </row>
    <row r="11" spans="1:16" ht="22.5" customHeight="1" x14ac:dyDescent="0.2">
      <c r="A11" s="132"/>
      <c r="B11" s="135"/>
      <c r="C11" s="1" t="s">
        <v>30</v>
      </c>
      <c r="D11" s="139"/>
      <c r="E11" s="62">
        <v>4240</v>
      </c>
      <c r="F11" s="63">
        <v>2887</v>
      </c>
      <c r="G11" s="64">
        <v>2887</v>
      </c>
      <c r="H11" s="36">
        <f t="shared" si="2"/>
        <v>68.09</v>
      </c>
      <c r="I11" s="36">
        <f t="shared" si="0"/>
        <v>100</v>
      </c>
      <c r="J11" s="77">
        <v>286573</v>
      </c>
      <c r="K11" s="78">
        <f>488+706</f>
        <v>1194</v>
      </c>
      <c r="L11" s="79">
        <v>250036</v>
      </c>
      <c r="M11" s="42">
        <f t="shared" si="1"/>
        <v>87.25</v>
      </c>
      <c r="N11" s="65">
        <f>ROUNDDOWN(J11/365,0)</f>
        <v>785</v>
      </c>
      <c r="O11" s="66">
        <f t="shared" si="5"/>
        <v>272</v>
      </c>
      <c r="P11" s="67">
        <f t="shared" si="6"/>
        <v>237</v>
      </c>
    </row>
    <row r="12" spans="1:16" ht="22.5" customHeight="1" x14ac:dyDescent="0.2">
      <c r="A12" s="173">
        <v>1987</v>
      </c>
      <c r="B12" s="175" t="s">
        <v>32</v>
      </c>
      <c r="C12" s="177" t="s">
        <v>26</v>
      </c>
      <c r="D12" s="4" t="s">
        <v>27</v>
      </c>
      <c r="E12" s="16">
        <v>50000</v>
      </c>
      <c r="F12" s="17">
        <v>39714</v>
      </c>
      <c r="G12" s="18">
        <v>39272</v>
      </c>
      <c r="H12" s="34">
        <f t="shared" si="2"/>
        <v>78.540000000000006</v>
      </c>
      <c r="I12" s="34">
        <f t="shared" si="0"/>
        <v>98.89</v>
      </c>
      <c r="J12" s="80">
        <v>2715</v>
      </c>
      <c r="K12" s="61">
        <v>10408</v>
      </c>
      <c r="L12" s="81">
        <v>2492</v>
      </c>
      <c r="M12" s="44">
        <f t="shared" si="1"/>
        <v>91.79</v>
      </c>
      <c r="N12" s="53">
        <f>ROUNDDOWN(J12*1000/365,0)</f>
        <v>7438</v>
      </c>
      <c r="O12" s="58">
        <f>ROUND(J12*1000000/G12/365,0)</f>
        <v>189</v>
      </c>
      <c r="P12" s="48">
        <f>ROUND(L12*1000000/G12/365,0)</f>
        <v>174</v>
      </c>
    </row>
    <row r="13" spans="1:16" ht="22.5" customHeight="1" x14ac:dyDescent="0.2">
      <c r="A13" s="174"/>
      <c r="B13" s="176"/>
      <c r="C13" s="178"/>
      <c r="D13" s="179" t="s">
        <v>28</v>
      </c>
      <c r="E13" s="19">
        <v>7930</v>
      </c>
      <c r="F13" s="20">
        <v>3815</v>
      </c>
      <c r="G13" s="21">
        <v>2995</v>
      </c>
      <c r="H13" s="35">
        <f t="shared" si="2"/>
        <v>37.770000000000003</v>
      </c>
      <c r="I13" s="35">
        <f t="shared" si="0"/>
        <v>78.510000000000005</v>
      </c>
      <c r="J13" s="74">
        <v>344029</v>
      </c>
      <c r="K13" s="75">
        <f>322+8830+368</f>
        <v>9520</v>
      </c>
      <c r="L13" s="76">
        <v>275485</v>
      </c>
      <c r="M13" s="40">
        <f t="shared" si="1"/>
        <v>80.08</v>
      </c>
      <c r="N13" s="52">
        <f>ROUNDDOWN(J13/365,0)</f>
        <v>942</v>
      </c>
      <c r="O13" s="59">
        <f t="shared" ref="O13:O15" si="7">ROUND(J13*1000/G13/365,0)</f>
        <v>315</v>
      </c>
      <c r="P13" s="49">
        <f t="shared" ref="P13:P15" si="8">ROUND(L13*1000/G13/365,0)</f>
        <v>252</v>
      </c>
    </row>
    <row r="14" spans="1:16" ht="22.5" customHeight="1" x14ac:dyDescent="0.2">
      <c r="A14" s="174"/>
      <c r="B14" s="176"/>
      <c r="C14" s="103" t="s">
        <v>29</v>
      </c>
      <c r="D14" s="180"/>
      <c r="E14" s="19">
        <v>3150</v>
      </c>
      <c r="F14" s="20">
        <v>2948</v>
      </c>
      <c r="G14" s="21">
        <v>2482</v>
      </c>
      <c r="H14" s="35">
        <f t="shared" si="2"/>
        <v>78.790000000000006</v>
      </c>
      <c r="I14" s="35">
        <f t="shared" si="0"/>
        <v>84.19</v>
      </c>
      <c r="J14" s="82">
        <v>244290</v>
      </c>
      <c r="K14" s="75">
        <f>459</f>
        <v>459</v>
      </c>
      <c r="L14" s="83">
        <v>165608</v>
      </c>
      <c r="M14" s="41">
        <f t="shared" si="1"/>
        <v>67.790000000000006</v>
      </c>
      <c r="N14" s="52">
        <f>ROUNDDOWN(J14/365,0)</f>
        <v>669</v>
      </c>
      <c r="O14" s="59">
        <f t="shared" si="7"/>
        <v>270</v>
      </c>
      <c r="P14" s="49">
        <f t="shared" si="8"/>
        <v>183</v>
      </c>
    </row>
    <row r="15" spans="1:16" ht="22.5" customHeight="1" x14ac:dyDescent="0.2">
      <c r="A15" s="174"/>
      <c r="B15" s="176"/>
      <c r="C15" s="60" t="s">
        <v>30</v>
      </c>
      <c r="D15" s="180"/>
      <c r="E15" s="28">
        <v>4240</v>
      </c>
      <c r="F15" s="29">
        <v>2818</v>
      </c>
      <c r="G15" s="30">
        <v>2818</v>
      </c>
      <c r="H15" s="37">
        <f t="shared" si="2"/>
        <v>66.459999999999994</v>
      </c>
      <c r="I15" s="37">
        <f t="shared" si="0"/>
        <v>100</v>
      </c>
      <c r="J15" s="84">
        <v>273781</v>
      </c>
      <c r="K15" s="85">
        <f>265+288</f>
        <v>553</v>
      </c>
      <c r="L15" s="86">
        <v>240737</v>
      </c>
      <c r="M15" s="43">
        <f t="shared" si="1"/>
        <v>87.93</v>
      </c>
      <c r="N15" s="68">
        <f>ROUNDDOWN(J15/365,0)</f>
        <v>750</v>
      </c>
      <c r="O15" s="69">
        <f t="shared" si="7"/>
        <v>266</v>
      </c>
      <c r="P15" s="70">
        <f t="shared" si="8"/>
        <v>234</v>
      </c>
    </row>
    <row r="16" spans="1:16" ht="22.5" customHeight="1" x14ac:dyDescent="0.2">
      <c r="A16" s="130">
        <v>1988</v>
      </c>
      <c r="B16" s="133" t="s">
        <v>33</v>
      </c>
      <c r="C16" s="136" t="s">
        <v>26</v>
      </c>
      <c r="D16" s="4" t="s">
        <v>27</v>
      </c>
      <c r="E16" s="16">
        <v>50000</v>
      </c>
      <c r="F16" s="17">
        <v>40896</v>
      </c>
      <c r="G16" s="18">
        <v>40601</v>
      </c>
      <c r="H16" s="34">
        <f t="shared" si="2"/>
        <v>81.2</v>
      </c>
      <c r="I16" s="34">
        <f t="shared" si="0"/>
        <v>99.28</v>
      </c>
      <c r="J16" s="80">
        <v>2905</v>
      </c>
      <c r="K16" s="61">
        <v>10868</v>
      </c>
      <c r="L16" s="81">
        <v>2667</v>
      </c>
      <c r="M16" s="44">
        <f t="shared" si="1"/>
        <v>91.81</v>
      </c>
      <c r="N16" s="53">
        <f>ROUNDDOWN(J16*1000/365,0)</f>
        <v>7958</v>
      </c>
      <c r="O16" s="58">
        <f>ROUND(J16*1000000/G16/365,0)</f>
        <v>196</v>
      </c>
      <c r="P16" s="48">
        <f>ROUND(L16*1000000/G16/365,0)</f>
        <v>180</v>
      </c>
    </row>
    <row r="17" spans="1:16" ht="22.5" customHeight="1" x14ac:dyDescent="0.2">
      <c r="A17" s="131"/>
      <c r="B17" s="134"/>
      <c r="C17" s="137"/>
      <c r="D17" s="138" t="s">
        <v>28</v>
      </c>
      <c r="E17" s="19">
        <v>7930</v>
      </c>
      <c r="F17" s="20">
        <v>3859</v>
      </c>
      <c r="G17" s="21">
        <v>3159</v>
      </c>
      <c r="H17" s="35">
        <f t="shared" si="2"/>
        <v>39.840000000000003</v>
      </c>
      <c r="I17" s="35">
        <f t="shared" si="0"/>
        <v>81.86</v>
      </c>
      <c r="J17" s="74">
        <v>410432</v>
      </c>
      <c r="K17" s="75">
        <f>286+10980+418</f>
        <v>11684</v>
      </c>
      <c r="L17" s="76">
        <v>311735</v>
      </c>
      <c r="M17" s="40">
        <f t="shared" si="1"/>
        <v>75.95</v>
      </c>
      <c r="N17" s="52">
        <f>ROUNDDOWN(J17/365,0)</f>
        <v>1124</v>
      </c>
      <c r="O17" s="59">
        <f t="shared" ref="O17:O19" si="9">ROUND(J17*1000/G17/365,0)</f>
        <v>356</v>
      </c>
      <c r="P17" s="49">
        <f t="shared" ref="P17:P19" si="10">ROUND(L17*1000/G17/365,0)</f>
        <v>270</v>
      </c>
    </row>
    <row r="18" spans="1:16" ht="22.5" customHeight="1" x14ac:dyDescent="0.2">
      <c r="A18" s="131"/>
      <c r="B18" s="134"/>
      <c r="C18" s="99" t="s">
        <v>29</v>
      </c>
      <c r="D18" s="138"/>
      <c r="E18" s="19">
        <v>3000</v>
      </c>
      <c r="F18" s="20">
        <v>2930</v>
      </c>
      <c r="G18" s="21">
        <v>2800</v>
      </c>
      <c r="H18" s="35">
        <f t="shared" si="2"/>
        <v>93.33</v>
      </c>
      <c r="I18" s="35">
        <f t="shared" si="0"/>
        <v>95.56</v>
      </c>
      <c r="J18" s="74">
        <v>262820</v>
      </c>
      <c r="K18" s="75">
        <f>464</f>
        <v>464</v>
      </c>
      <c r="L18" s="76">
        <v>184454</v>
      </c>
      <c r="M18" s="40">
        <f t="shared" si="1"/>
        <v>70.180000000000007</v>
      </c>
      <c r="N18" s="52">
        <f>ROUNDDOWN(J18/365,0)</f>
        <v>720</v>
      </c>
      <c r="O18" s="59">
        <f t="shared" si="9"/>
        <v>257</v>
      </c>
      <c r="P18" s="49">
        <f t="shared" si="10"/>
        <v>180</v>
      </c>
    </row>
    <row r="19" spans="1:16" ht="22.5" customHeight="1" x14ac:dyDescent="0.2">
      <c r="A19" s="132"/>
      <c r="B19" s="135"/>
      <c r="C19" s="1" t="s">
        <v>30</v>
      </c>
      <c r="D19" s="139"/>
      <c r="E19" s="62">
        <v>4240</v>
      </c>
      <c r="F19" s="63">
        <v>2777</v>
      </c>
      <c r="G19" s="64">
        <v>2777</v>
      </c>
      <c r="H19" s="36">
        <f t="shared" si="2"/>
        <v>65.5</v>
      </c>
      <c r="I19" s="36">
        <f t="shared" si="0"/>
        <v>100</v>
      </c>
      <c r="J19" s="77">
        <v>231874</v>
      </c>
      <c r="K19" s="79">
        <f>226+311</f>
        <v>537</v>
      </c>
      <c r="L19" s="79">
        <v>199413</v>
      </c>
      <c r="M19" s="42">
        <f t="shared" si="1"/>
        <v>86</v>
      </c>
      <c r="N19" s="65">
        <f>ROUNDDOWN(J19/365,0)</f>
        <v>635</v>
      </c>
      <c r="O19" s="66">
        <f t="shared" si="9"/>
        <v>229</v>
      </c>
      <c r="P19" s="67">
        <f t="shared" si="10"/>
        <v>197</v>
      </c>
    </row>
    <row r="20" spans="1:16" ht="22.5" customHeight="1" x14ac:dyDescent="0.2">
      <c r="A20" s="173">
        <v>1989</v>
      </c>
      <c r="B20" s="175" t="s">
        <v>34</v>
      </c>
      <c r="C20" s="177" t="s">
        <v>26</v>
      </c>
      <c r="D20" s="4" t="s">
        <v>27</v>
      </c>
      <c r="E20" s="16">
        <v>50000</v>
      </c>
      <c r="F20" s="17">
        <v>41962</v>
      </c>
      <c r="G20" s="18">
        <v>41724</v>
      </c>
      <c r="H20" s="34">
        <f t="shared" si="2"/>
        <v>83.45</v>
      </c>
      <c r="I20" s="34">
        <f t="shared" si="0"/>
        <v>99.43</v>
      </c>
      <c r="J20" s="80">
        <v>3068</v>
      </c>
      <c r="K20" s="61">
        <v>11819</v>
      </c>
      <c r="L20" s="81">
        <v>2852</v>
      </c>
      <c r="M20" s="44">
        <f t="shared" si="1"/>
        <v>92.96</v>
      </c>
      <c r="N20" s="53">
        <f>ROUNDDOWN(J20*1000/365,0)</f>
        <v>8405</v>
      </c>
      <c r="O20" s="58">
        <f>ROUND(J20*1000000/G20/365,0)</f>
        <v>201</v>
      </c>
      <c r="P20" s="48">
        <f>ROUND(L20*1000000/G20/365,0)</f>
        <v>187</v>
      </c>
    </row>
    <row r="21" spans="1:16" ht="22.5" customHeight="1" x14ac:dyDescent="0.2">
      <c r="A21" s="174"/>
      <c r="B21" s="176"/>
      <c r="C21" s="178"/>
      <c r="D21" s="179" t="s">
        <v>28</v>
      </c>
      <c r="E21" s="19">
        <v>7930</v>
      </c>
      <c r="F21" s="20">
        <v>3943</v>
      </c>
      <c r="G21" s="21">
        <v>3296</v>
      </c>
      <c r="H21" s="35">
        <f t="shared" si="2"/>
        <v>41.56</v>
      </c>
      <c r="I21" s="35">
        <f t="shared" si="0"/>
        <v>83.59</v>
      </c>
      <c r="J21" s="74">
        <v>424463</v>
      </c>
      <c r="K21" s="75">
        <f>306+10445+547</f>
        <v>11298</v>
      </c>
      <c r="L21" s="76">
        <v>351733</v>
      </c>
      <c r="M21" s="40">
        <f t="shared" si="1"/>
        <v>82.87</v>
      </c>
      <c r="N21" s="52">
        <f>ROUNDDOWN(J21/365,0)</f>
        <v>1162</v>
      </c>
      <c r="O21" s="59">
        <f t="shared" ref="O21:O23" si="11">ROUND(J21*1000/G21/365,0)</f>
        <v>353</v>
      </c>
      <c r="P21" s="49">
        <f t="shared" ref="P21:P23" si="12">ROUND(L21*1000/G21/365,0)</f>
        <v>292</v>
      </c>
    </row>
    <row r="22" spans="1:16" ht="22.5" customHeight="1" x14ac:dyDescent="0.2">
      <c r="A22" s="174"/>
      <c r="B22" s="176"/>
      <c r="C22" s="103" t="s">
        <v>29</v>
      </c>
      <c r="D22" s="180"/>
      <c r="E22" s="22">
        <v>3000</v>
      </c>
      <c r="F22" s="23">
        <v>2837</v>
      </c>
      <c r="G22" s="24">
        <v>2739</v>
      </c>
      <c r="H22" s="35">
        <f t="shared" si="2"/>
        <v>91.3</v>
      </c>
      <c r="I22" s="35">
        <f t="shared" si="0"/>
        <v>96.55</v>
      </c>
      <c r="J22" s="82">
        <v>272478</v>
      </c>
      <c r="K22" s="87">
        <f>491</f>
        <v>491</v>
      </c>
      <c r="L22" s="83">
        <v>194575</v>
      </c>
      <c r="M22" s="41">
        <f t="shared" si="1"/>
        <v>71.41</v>
      </c>
      <c r="N22" s="52">
        <f>ROUNDDOWN(J22/365,0)</f>
        <v>746</v>
      </c>
      <c r="O22" s="59">
        <f t="shared" si="11"/>
        <v>273</v>
      </c>
      <c r="P22" s="49">
        <f t="shared" si="12"/>
        <v>195</v>
      </c>
    </row>
    <row r="23" spans="1:16" ht="22.5" customHeight="1" x14ac:dyDescent="0.2">
      <c r="A23" s="181"/>
      <c r="B23" s="182"/>
      <c r="C23" s="8" t="s">
        <v>30</v>
      </c>
      <c r="D23" s="183"/>
      <c r="E23" s="25">
        <v>4240</v>
      </c>
      <c r="F23" s="26">
        <v>2957</v>
      </c>
      <c r="G23" s="27">
        <v>2777</v>
      </c>
      <c r="H23" s="36">
        <f t="shared" si="2"/>
        <v>65.5</v>
      </c>
      <c r="I23" s="36">
        <f t="shared" si="0"/>
        <v>93.91</v>
      </c>
      <c r="J23" s="91">
        <v>270667</v>
      </c>
      <c r="K23" s="92">
        <f>226+311</f>
        <v>537</v>
      </c>
      <c r="L23" s="93">
        <v>212132</v>
      </c>
      <c r="M23" s="45">
        <f t="shared" si="1"/>
        <v>78.37</v>
      </c>
      <c r="N23" s="65">
        <f>ROUNDDOWN(J23/365,0)</f>
        <v>741</v>
      </c>
      <c r="O23" s="66">
        <f t="shared" si="11"/>
        <v>267</v>
      </c>
      <c r="P23" s="67">
        <f t="shared" si="12"/>
        <v>209</v>
      </c>
    </row>
    <row r="24" spans="1:16" ht="22.5" customHeight="1" x14ac:dyDescent="0.2">
      <c r="A24" s="130">
        <v>1990</v>
      </c>
      <c r="B24" s="133" t="s">
        <v>35</v>
      </c>
      <c r="C24" s="136" t="s">
        <v>26</v>
      </c>
      <c r="D24" s="4" t="s">
        <v>27</v>
      </c>
      <c r="E24" s="16">
        <v>50000</v>
      </c>
      <c r="F24" s="17">
        <v>43162</v>
      </c>
      <c r="G24" s="18">
        <v>42957</v>
      </c>
      <c r="H24" s="34">
        <f t="shared" si="2"/>
        <v>85.91</v>
      </c>
      <c r="I24" s="34">
        <f t="shared" si="0"/>
        <v>99.53</v>
      </c>
      <c r="J24" s="80">
        <v>3218</v>
      </c>
      <c r="K24" s="61">
        <v>12244</v>
      </c>
      <c r="L24" s="81">
        <v>2992</v>
      </c>
      <c r="M24" s="44">
        <f t="shared" si="1"/>
        <v>92.98</v>
      </c>
      <c r="N24" s="53">
        <f>ROUNDDOWN(J24*1000/365,0)</f>
        <v>8816</v>
      </c>
      <c r="O24" s="58">
        <f>ROUND(J24*1000000/G24/365,0)</f>
        <v>205</v>
      </c>
      <c r="P24" s="48">
        <f>ROUND(L24*1000000/G24/365,0)</f>
        <v>191</v>
      </c>
    </row>
    <row r="25" spans="1:16" ht="22.5" customHeight="1" x14ac:dyDescent="0.2">
      <c r="A25" s="131"/>
      <c r="B25" s="134"/>
      <c r="C25" s="137"/>
      <c r="D25" s="138" t="s">
        <v>28</v>
      </c>
      <c r="E25" s="19">
        <v>7930</v>
      </c>
      <c r="F25" s="20">
        <v>4103</v>
      </c>
      <c r="G25" s="21">
        <v>3394</v>
      </c>
      <c r="H25" s="35">
        <f t="shared" si="2"/>
        <v>42.8</v>
      </c>
      <c r="I25" s="35">
        <f t="shared" si="0"/>
        <v>82.72</v>
      </c>
      <c r="J25" s="74">
        <v>456290</v>
      </c>
      <c r="K25" s="75">
        <f>362+11585+343</f>
        <v>12290</v>
      </c>
      <c r="L25" s="76">
        <v>404545</v>
      </c>
      <c r="M25" s="40">
        <f t="shared" si="1"/>
        <v>88.66</v>
      </c>
      <c r="N25" s="52">
        <f>ROUNDDOWN(J25/365,0)</f>
        <v>1250</v>
      </c>
      <c r="O25" s="59">
        <f t="shared" ref="O25:O27" si="13">ROUND(J25*1000/G25/365,0)</f>
        <v>368</v>
      </c>
      <c r="P25" s="49">
        <f t="shared" ref="P25:P27" si="14">ROUND(L25*1000/G25/365,0)</f>
        <v>327</v>
      </c>
    </row>
    <row r="26" spans="1:16" ht="22.5" customHeight="1" x14ac:dyDescent="0.2">
      <c r="A26" s="131"/>
      <c r="B26" s="134"/>
      <c r="C26" s="99" t="s">
        <v>29</v>
      </c>
      <c r="D26" s="138"/>
      <c r="E26" s="19">
        <v>3000</v>
      </c>
      <c r="F26" s="20">
        <v>2817</v>
      </c>
      <c r="G26" s="21">
        <v>2726</v>
      </c>
      <c r="H26" s="35">
        <f t="shared" si="2"/>
        <v>90.87</v>
      </c>
      <c r="I26" s="35">
        <f t="shared" si="0"/>
        <v>96.77</v>
      </c>
      <c r="J26" s="74">
        <v>314651</v>
      </c>
      <c r="K26" s="75">
        <f>486</f>
        <v>486</v>
      </c>
      <c r="L26" s="76">
        <v>231786</v>
      </c>
      <c r="M26" s="40">
        <f t="shared" si="1"/>
        <v>73.66</v>
      </c>
      <c r="N26" s="52">
        <f>ROUNDDOWN(J26/365,0)</f>
        <v>862</v>
      </c>
      <c r="O26" s="59">
        <f t="shared" si="13"/>
        <v>316</v>
      </c>
      <c r="P26" s="49">
        <f t="shared" si="14"/>
        <v>233</v>
      </c>
    </row>
    <row r="27" spans="1:16" ht="22.5" customHeight="1" x14ac:dyDescent="0.2">
      <c r="A27" s="132"/>
      <c r="B27" s="135"/>
      <c r="C27" s="1" t="s">
        <v>30</v>
      </c>
      <c r="D27" s="139"/>
      <c r="E27" s="62">
        <v>4240</v>
      </c>
      <c r="F27" s="63">
        <v>2603</v>
      </c>
      <c r="G27" s="64">
        <v>2583</v>
      </c>
      <c r="H27" s="36">
        <f t="shared" si="2"/>
        <v>60.92</v>
      </c>
      <c r="I27" s="36">
        <f t="shared" si="0"/>
        <v>99.23</v>
      </c>
      <c r="J27" s="77">
        <v>259413</v>
      </c>
      <c r="K27" s="78">
        <f>470+333</f>
        <v>803</v>
      </c>
      <c r="L27" s="79">
        <v>201221</v>
      </c>
      <c r="M27" s="42">
        <f t="shared" si="1"/>
        <v>77.569999999999993</v>
      </c>
      <c r="N27" s="65">
        <f>ROUNDDOWN(J27/365,0)</f>
        <v>710</v>
      </c>
      <c r="O27" s="66">
        <f t="shared" si="13"/>
        <v>275</v>
      </c>
      <c r="P27" s="67">
        <f t="shared" si="14"/>
        <v>213</v>
      </c>
    </row>
    <row r="28" spans="1:16" ht="22.5" customHeight="1" x14ac:dyDescent="0.2">
      <c r="A28" s="173">
        <v>1991</v>
      </c>
      <c r="B28" s="175" t="s">
        <v>36</v>
      </c>
      <c r="C28" s="177" t="s">
        <v>26</v>
      </c>
      <c r="D28" s="4" t="s">
        <v>27</v>
      </c>
      <c r="E28" s="16">
        <v>50000</v>
      </c>
      <c r="F28" s="17">
        <v>44010</v>
      </c>
      <c r="G28" s="18">
        <v>43871</v>
      </c>
      <c r="H28" s="34">
        <f t="shared" si="2"/>
        <v>87.74</v>
      </c>
      <c r="I28" s="34">
        <f t="shared" si="0"/>
        <v>99.68</v>
      </c>
      <c r="J28" s="80">
        <v>3343</v>
      </c>
      <c r="K28" s="61">
        <v>12525</v>
      </c>
      <c r="L28" s="81">
        <v>3118</v>
      </c>
      <c r="M28" s="44">
        <f t="shared" si="1"/>
        <v>93.27</v>
      </c>
      <c r="N28" s="53">
        <f>ROUNDDOWN(J28*1000/365,0)</f>
        <v>9158</v>
      </c>
      <c r="O28" s="58">
        <f>ROUND(J28*1000000/G28/365,0)</f>
        <v>209</v>
      </c>
      <c r="P28" s="48">
        <f>ROUND(L28*1000000/G28/365,0)</f>
        <v>195</v>
      </c>
    </row>
    <row r="29" spans="1:16" ht="22.5" customHeight="1" x14ac:dyDescent="0.2">
      <c r="A29" s="174"/>
      <c r="B29" s="176"/>
      <c r="C29" s="178"/>
      <c r="D29" s="179" t="s">
        <v>28</v>
      </c>
      <c r="E29" s="19">
        <v>7930</v>
      </c>
      <c r="F29" s="20">
        <v>4380</v>
      </c>
      <c r="G29" s="21">
        <v>3697</v>
      </c>
      <c r="H29" s="35">
        <f t="shared" si="2"/>
        <v>46.62</v>
      </c>
      <c r="I29" s="35">
        <f t="shared" si="0"/>
        <v>84.41</v>
      </c>
      <c r="J29" s="74">
        <v>555518</v>
      </c>
      <c r="K29" s="75">
        <f>251+13049+263</f>
        <v>13563</v>
      </c>
      <c r="L29" s="76">
        <v>468531</v>
      </c>
      <c r="M29" s="40">
        <f t="shared" si="1"/>
        <v>84.34</v>
      </c>
      <c r="N29" s="52">
        <f>ROUNDDOWN(J29/365,0)</f>
        <v>1521</v>
      </c>
      <c r="O29" s="59">
        <f t="shared" ref="O29:O31" si="15">ROUND(J29*1000/G29/365,0)</f>
        <v>412</v>
      </c>
      <c r="P29" s="49">
        <f t="shared" ref="P29:P31" si="16">ROUND(L29*1000/G29/365,0)</f>
        <v>347</v>
      </c>
    </row>
    <row r="30" spans="1:16" ht="22.5" customHeight="1" x14ac:dyDescent="0.2">
      <c r="A30" s="174"/>
      <c r="B30" s="176"/>
      <c r="C30" s="103" t="s">
        <v>29</v>
      </c>
      <c r="D30" s="180"/>
      <c r="E30" s="22">
        <v>3000</v>
      </c>
      <c r="F30" s="23">
        <v>2808</v>
      </c>
      <c r="G30" s="24">
        <v>2726</v>
      </c>
      <c r="H30" s="35">
        <f t="shared" si="2"/>
        <v>90.87</v>
      </c>
      <c r="I30" s="35">
        <f t="shared" si="0"/>
        <v>97.08</v>
      </c>
      <c r="J30" s="82">
        <v>345429</v>
      </c>
      <c r="K30" s="87">
        <f>507</f>
        <v>507</v>
      </c>
      <c r="L30" s="83">
        <v>249954</v>
      </c>
      <c r="M30" s="41">
        <f t="shared" si="1"/>
        <v>72.36</v>
      </c>
      <c r="N30" s="52">
        <f>ROUNDDOWN(J30/365,0)</f>
        <v>946</v>
      </c>
      <c r="O30" s="59">
        <f t="shared" si="15"/>
        <v>347</v>
      </c>
      <c r="P30" s="49">
        <f t="shared" si="16"/>
        <v>251</v>
      </c>
    </row>
    <row r="31" spans="1:16" ht="22.5" customHeight="1" x14ac:dyDescent="0.2">
      <c r="A31" s="174"/>
      <c r="B31" s="176"/>
      <c r="C31" s="60" t="s">
        <v>30</v>
      </c>
      <c r="D31" s="180"/>
      <c r="E31" s="28">
        <v>4240</v>
      </c>
      <c r="F31" s="29">
        <v>2504</v>
      </c>
      <c r="G31" s="30">
        <v>2501</v>
      </c>
      <c r="H31" s="37">
        <f t="shared" si="2"/>
        <v>58.99</v>
      </c>
      <c r="I31" s="37">
        <f t="shared" si="0"/>
        <v>99.88</v>
      </c>
      <c r="J31" s="84">
        <v>273957</v>
      </c>
      <c r="K31" s="88">
        <f>475+325</f>
        <v>800</v>
      </c>
      <c r="L31" s="86">
        <v>145801</v>
      </c>
      <c r="M31" s="43">
        <f t="shared" si="1"/>
        <v>53.22</v>
      </c>
      <c r="N31" s="68">
        <f>ROUNDDOWN(J31/365,0)</f>
        <v>750</v>
      </c>
      <c r="O31" s="69">
        <f t="shared" si="15"/>
        <v>300</v>
      </c>
      <c r="P31" s="70">
        <f t="shared" si="16"/>
        <v>160</v>
      </c>
    </row>
    <row r="32" spans="1:16" ht="22.5" customHeight="1" x14ac:dyDescent="0.2">
      <c r="A32" s="130">
        <v>1992</v>
      </c>
      <c r="B32" s="133" t="s">
        <v>37</v>
      </c>
      <c r="C32" s="136" t="s">
        <v>26</v>
      </c>
      <c r="D32" s="4" t="s">
        <v>27</v>
      </c>
      <c r="E32" s="16">
        <v>50000</v>
      </c>
      <c r="F32" s="17">
        <v>44972</v>
      </c>
      <c r="G32" s="18">
        <v>44961</v>
      </c>
      <c r="H32" s="34">
        <f t="shared" si="2"/>
        <v>89.92</v>
      </c>
      <c r="I32" s="34">
        <f t="shared" si="0"/>
        <v>99.98</v>
      </c>
      <c r="J32" s="80">
        <v>3475</v>
      </c>
      <c r="K32" s="61">
        <v>13013</v>
      </c>
      <c r="L32" s="81">
        <v>3251</v>
      </c>
      <c r="M32" s="44">
        <f t="shared" si="1"/>
        <v>93.55</v>
      </c>
      <c r="N32" s="53">
        <f>ROUNDDOWN(J32*1000/365,0)</f>
        <v>9520</v>
      </c>
      <c r="O32" s="58">
        <f>ROUND(J32*1000000/G32/365,0)</f>
        <v>212</v>
      </c>
      <c r="P32" s="48">
        <f>ROUND(L32*1000000/G32/365,0)</f>
        <v>198</v>
      </c>
    </row>
    <row r="33" spans="1:16" ht="22.5" customHeight="1" x14ac:dyDescent="0.2">
      <c r="A33" s="131"/>
      <c r="B33" s="134"/>
      <c r="C33" s="137"/>
      <c r="D33" s="138" t="s">
        <v>28</v>
      </c>
      <c r="E33" s="19">
        <v>7885</v>
      </c>
      <c r="F33" s="20">
        <v>4767</v>
      </c>
      <c r="G33" s="21">
        <v>4081</v>
      </c>
      <c r="H33" s="35">
        <f t="shared" si="2"/>
        <v>51.76</v>
      </c>
      <c r="I33" s="35">
        <f t="shared" si="0"/>
        <v>85.61</v>
      </c>
      <c r="J33" s="74">
        <v>657982</v>
      </c>
      <c r="K33" s="75">
        <f>246+16573+260</f>
        <v>17079</v>
      </c>
      <c r="L33" s="76">
        <v>537666</v>
      </c>
      <c r="M33" s="40">
        <f t="shared" si="1"/>
        <v>81.709999999999994</v>
      </c>
      <c r="N33" s="52">
        <f>ROUNDDOWN(J33/365,0)</f>
        <v>1802</v>
      </c>
      <c r="O33" s="59">
        <f t="shared" ref="O33:O35" si="17">ROUND(J33*1000/G33/365,0)</f>
        <v>442</v>
      </c>
      <c r="P33" s="49">
        <f t="shared" ref="P33:P35" si="18">ROUND(L33*1000/G33/365,0)</f>
        <v>361</v>
      </c>
    </row>
    <row r="34" spans="1:16" ht="22.5" customHeight="1" x14ac:dyDescent="0.2">
      <c r="A34" s="131"/>
      <c r="B34" s="134"/>
      <c r="C34" s="99" t="s">
        <v>29</v>
      </c>
      <c r="D34" s="138"/>
      <c r="E34" s="19">
        <v>3000</v>
      </c>
      <c r="F34" s="20">
        <v>2730</v>
      </c>
      <c r="G34" s="21">
        <v>2641</v>
      </c>
      <c r="H34" s="35">
        <f t="shared" si="2"/>
        <v>88.03</v>
      </c>
      <c r="I34" s="35">
        <f t="shared" si="0"/>
        <v>96.74</v>
      </c>
      <c r="J34" s="74">
        <v>333185</v>
      </c>
      <c r="K34" s="75">
        <f>502</f>
        <v>502</v>
      </c>
      <c r="L34" s="76">
        <v>237164</v>
      </c>
      <c r="M34" s="40">
        <f t="shared" si="1"/>
        <v>71.180000000000007</v>
      </c>
      <c r="N34" s="52">
        <f>ROUNDDOWN(J34/365,0)</f>
        <v>912</v>
      </c>
      <c r="O34" s="59">
        <f t="shared" si="17"/>
        <v>346</v>
      </c>
      <c r="P34" s="49">
        <f t="shared" si="18"/>
        <v>246</v>
      </c>
    </row>
    <row r="35" spans="1:16" ht="22.5" customHeight="1" x14ac:dyDescent="0.2">
      <c r="A35" s="132"/>
      <c r="B35" s="135"/>
      <c r="C35" s="1" t="s">
        <v>30</v>
      </c>
      <c r="D35" s="139"/>
      <c r="E35" s="62">
        <v>4240</v>
      </c>
      <c r="F35" s="63">
        <v>2479</v>
      </c>
      <c r="G35" s="64">
        <v>2448</v>
      </c>
      <c r="H35" s="36">
        <f t="shared" si="2"/>
        <v>57.74</v>
      </c>
      <c r="I35" s="36">
        <f t="shared" si="0"/>
        <v>98.75</v>
      </c>
      <c r="J35" s="77">
        <v>333278</v>
      </c>
      <c r="K35" s="78">
        <f>514+368</f>
        <v>882</v>
      </c>
      <c r="L35" s="79">
        <v>160143</v>
      </c>
      <c r="M35" s="42">
        <f t="shared" si="1"/>
        <v>48.05</v>
      </c>
      <c r="N35" s="65">
        <f>ROUNDDOWN(J35/365,0)</f>
        <v>913</v>
      </c>
      <c r="O35" s="66">
        <f t="shared" si="17"/>
        <v>373</v>
      </c>
      <c r="P35" s="67">
        <f t="shared" si="18"/>
        <v>179</v>
      </c>
    </row>
    <row r="36" spans="1:16" ht="22.5" customHeight="1" x14ac:dyDescent="0.2">
      <c r="A36" s="173">
        <v>1993</v>
      </c>
      <c r="B36" s="175" t="s">
        <v>38</v>
      </c>
      <c r="C36" s="177" t="s">
        <v>26</v>
      </c>
      <c r="D36" s="4" t="s">
        <v>27</v>
      </c>
      <c r="E36" s="16">
        <v>50000</v>
      </c>
      <c r="F36" s="17">
        <v>45746</v>
      </c>
      <c r="G36" s="18">
        <v>45746</v>
      </c>
      <c r="H36" s="34">
        <f t="shared" si="2"/>
        <v>91.49</v>
      </c>
      <c r="I36" s="34">
        <f t="shared" ref="I36:I63" si="19">ROUND(G36/F36*100,2)</f>
        <v>100</v>
      </c>
      <c r="J36" s="80">
        <v>3653</v>
      </c>
      <c r="K36" s="61">
        <v>13702</v>
      </c>
      <c r="L36" s="81">
        <v>3410</v>
      </c>
      <c r="M36" s="44">
        <f t="shared" ref="M36:M63" si="20">ROUND(L36/J36*100,2)</f>
        <v>93.35</v>
      </c>
      <c r="N36" s="53">
        <f>ROUNDDOWN(J36*1000/365,0)</f>
        <v>10008</v>
      </c>
      <c r="O36" s="58">
        <f>ROUND(J36*1000000/G36/365,0)</f>
        <v>219</v>
      </c>
      <c r="P36" s="48">
        <f>ROUND(L36*1000000/G36/365,0)</f>
        <v>204</v>
      </c>
    </row>
    <row r="37" spans="1:16" ht="22.5" customHeight="1" x14ac:dyDescent="0.2">
      <c r="A37" s="174"/>
      <c r="B37" s="176"/>
      <c r="C37" s="178"/>
      <c r="D37" s="179" t="s">
        <v>28</v>
      </c>
      <c r="E37" s="19">
        <v>7885</v>
      </c>
      <c r="F37" s="20">
        <v>4916</v>
      </c>
      <c r="G37" s="21">
        <v>4309</v>
      </c>
      <c r="H37" s="35">
        <f t="shared" si="2"/>
        <v>54.65</v>
      </c>
      <c r="I37" s="35">
        <f t="shared" si="19"/>
        <v>87.65</v>
      </c>
      <c r="J37" s="74">
        <v>722772</v>
      </c>
      <c r="K37" s="75">
        <f>274+19699+259</f>
        <v>20232</v>
      </c>
      <c r="L37" s="76">
        <v>590683</v>
      </c>
      <c r="M37" s="40">
        <f t="shared" si="20"/>
        <v>81.72</v>
      </c>
      <c r="N37" s="52">
        <f>ROUNDDOWN(J37/365,0)</f>
        <v>1980</v>
      </c>
      <c r="O37" s="59">
        <f t="shared" ref="O37:O39" si="21">ROUND(J37*1000/G37/365,0)</f>
        <v>460</v>
      </c>
      <c r="P37" s="49">
        <f t="shared" ref="P37:P39" si="22">ROUND(L37*1000/G37/365,0)</f>
        <v>376</v>
      </c>
    </row>
    <row r="38" spans="1:16" ht="22.5" customHeight="1" x14ac:dyDescent="0.2">
      <c r="A38" s="174"/>
      <c r="B38" s="176"/>
      <c r="C38" s="103" t="s">
        <v>29</v>
      </c>
      <c r="D38" s="180"/>
      <c r="E38" s="22">
        <v>2700</v>
      </c>
      <c r="F38" s="23">
        <v>2759</v>
      </c>
      <c r="G38" s="24">
        <v>2669</v>
      </c>
      <c r="H38" s="35">
        <f t="shared" si="2"/>
        <v>98.85</v>
      </c>
      <c r="I38" s="35">
        <f t="shared" si="19"/>
        <v>96.74</v>
      </c>
      <c r="J38" s="82">
        <v>372513</v>
      </c>
      <c r="K38" s="87">
        <f>572</f>
        <v>572</v>
      </c>
      <c r="L38" s="83">
        <v>266976</v>
      </c>
      <c r="M38" s="41">
        <f t="shared" si="20"/>
        <v>71.67</v>
      </c>
      <c r="N38" s="52">
        <f>ROUNDDOWN(J38/365,0)</f>
        <v>1020</v>
      </c>
      <c r="O38" s="59">
        <f t="shared" si="21"/>
        <v>382</v>
      </c>
      <c r="P38" s="49">
        <f t="shared" si="22"/>
        <v>274</v>
      </c>
    </row>
    <row r="39" spans="1:16" ht="22.5" customHeight="1" x14ac:dyDescent="0.2">
      <c r="A39" s="174"/>
      <c r="B39" s="176"/>
      <c r="C39" s="60" t="s">
        <v>30</v>
      </c>
      <c r="D39" s="180"/>
      <c r="E39" s="28">
        <v>4240</v>
      </c>
      <c r="F39" s="29">
        <v>2404</v>
      </c>
      <c r="G39" s="30">
        <v>2397</v>
      </c>
      <c r="H39" s="37">
        <f t="shared" si="2"/>
        <v>56.53</v>
      </c>
      <c r="I39" s="37">
        <f t="shared" si="19"/>
        <v>99.71</v>
      </c>
      <c r="J39" s="84">
        <v>371673</v>
      </c>
      <c r="K39" s="88">
        <f>698+288</f>
        <v>986</v>
      </c>
      <c r="L39" s="86">
        <v>184093</v>
      </c>
      <c r="M39" s="43">
        <f t="shared" si="20"/>
        <v>49.53</v>
      </c>
      <c r="N39" s="68">
        <f>ROUNDDOWN(J39/365,0)</f>
        <v>1018</v>
      </c>
      <c r="O39" s="69">
        <f t="shared" si="21"/>
        <v>425</v>
      </c>
      <c r="P39" s="70">
        <f t="shared" si="22"/>
        <v>210</v>
      </c>
    </row>
    <row r="40" spans="1:16" ht="22.5" customHeight="1" x14ac:dyDescent="0.2">
      <c r="A40" s="130">
        <v>1994</v>
      </c>
      <c r="B40" s="133" t="s">
        <v>39</v>
      </c>
      <c r="C40" s="136" t="s">
        <v>26</v>
      </c>
      <c r="D40" s="4" t="s">
        <v>27</v>
      </c>
      <c r="E40" s="16">
        <v>50000</v>
      </c>
      <c r="F40" s="17">
        <v>46549</v>
      </c>
      <c r="G40" s="18">
        <v>46549</v>
      </c>
      <c r="H40" s="34">
        <f t="shared" si="2"/>
        <v>93.1</v>
      </c>
      <c r="I40" s="34">
        <f t="shared" si="19"/>
        <v>100</v>
      </c>
      <c r="J40" s="80">
        <v>3928</v>
      </c>
      <c r="K40" s="61">
        <v>14357</v>
      </c>
      <c r="L40" s="81">
        <v>3624</v>
      </c>
      <c r="M40" s="44">
        <f t="shared" si="20"/>
        <v>92.26</v>
      </c>
      <c r="N40" s="53">
        <f>ROUNDDOWN(J40*1000/365,0)</f>
        <v>10761</v>
      </c>
      <c r="O40" s="58">
        <f>ROUND(J40*1000000/G40/365,0)</f>
        <v>231</v>
      </c>
      <c r="P40" s="48">
        <f>ROUND(L40*1000000/G40/365,0)</f>
        <v>213</v>
      </c>
    </row>
    <row r="41" spans="1:16" ht="22.5" customHeight="1" x14ac:dyDescent="0.2">
      <c r="A41" s="131"/>
      <c r="B41" s="134"/>
      <c r="C41" s="137"/>
      <c r="D41" s="138" t="s">
        <v>28</v>
      </c>
      <c r="E41" s="19">
        <v>7885</v>
      </c>
      <c r="F41" s="20">
        <v>5027</v>
      </c>
      <c r="G41" s="21">
        <v>4439</v>
      </c>
      <c r="H41" s="35">
        <f t="shared" si="2"/>
        <v>56.3</v>
      </c>
      <c r="I41" s="35">
        <f t="shared" si="19"/>
        <v>88.3</v>
      </c>
      <c r="J41" s="74">
        <v>762056</v>
      </c>
      <c r="K41" s="75">
        <f>315+20939+263</f>
        <v>21517</v>
      </c>
      <c r="L41" s="76">
        <v>641432</v>
      </c>
      <c r="M41" s="40">
        <f t="shared" si="20"/>
        <v>84.17</v>
      </c>
      <c r="N41" s="52">
        <f>ROUNDDOWN(J41/365,0)</f>
        <v>2087</v>
      </c>
      <c r="O41" s="59">
        <f t="shared" ref="O41:O43" si="23">ROUND(J41*1000/G41/365,0)</f>
        <v>470</v>
      </c>
      <c r="P41" s="49">
        <f t="shared" ref="P41:P43" si="24">ROUND(L41*1000/G41/365,0)</f>
        <v>396</v>
      </c>
    </row>
    <row r="42" spans="1:16" ht="22.5" customHeight="1" x14ac:dyDescent="0.2">
      <c r="A42" s="131"/>
      <c r="B42" s="134"/>
      <c r="C42" s="99" t="s">
        <v>29</v>
      </c>
      <c r="D42" s="138"/>
      <c r="E42" s="19">
        <v>2700</v>
      </c>
      <c r="F42" s="20">
        <v>2640</v>
      </c>
      <c r="G42" s="21">
        <v>2546</v>
      </c>
      <c r="H42" s="35">
        <f t="shared" si="2"/>
        <v>94.3</v>
      </c>
      <c r="I42" s="35">
        <f t="shared" si="19"/>
        <v>96.44</v>
      </c>
      <c r="J42" s="74">
        <v>353669</v>
      </c>
      <c r="K42" s="75">
        <f>555</f>
        <v>555</v>
      </c>
      <c r="L42" s="76">
        <v>250090</v>
      </c>
      <c r="M42" s="40">
        <f t="shared" si="20"/>
        <v>70.709999999999994</v>
      </c>
      <c r="N42" s="52">
        <f>ROUNDDOWN(J42/365,0)</f>
        <v>968</v>
      </c>
      <c r="O42" s="59">
        <f t="shared" si="23"/>
        <v>381</v>
      </c>
      <c r="P42" s="49">
        <f t="shared" si="24"/>
        <v>269</v>
      </c>
    </row>
    <row r="43" spans="1:16" ht="22.5" customHeight="1" x14ac:dyDescent="0.2">
      <c r="A43" s="132"/>
      <c r="B43" s="135"/>
      <c r="C43" s="1" t="s">
        <v>30</v>
      </c>
      <c r="D43" s="139"/>
      <c r="E43" s="62">
        <v>4240</v>
      </c>
      <c r="F43" s="63">
        <v>2338</v>
      </c>
      <c r="G43" s="64">
        <v>2331</v>
      </c>
      <c r="H43" s="36">
        <f t="shared" si="2"/>
        <v>54.98</v>
      </c>
      <c r="I43" s="36">
        <f t="shared" si="19"/>
        <v>99.7</v>
      </c>
      <c r="J43" s="77">
        <v>383277</v>
      </c>
      <c r="K43" s="78">
        <f>713+838</f>
        <v>1551</v>
      </c>
      <c r="L43" s="79">
        <v>164475</v>
      </c>
      <c r="M43" s="42">
        <f t="shared" si="20"/>
        <v>42.91</v>
      </c>
      <c r="N43" s="65">
        <f>ROUNDDOWN(J43/365,0)</f>
        <v>1050</v>
      </c>
      <c r="O43" s="66">
        <f t="shared" si="23"/>
        <v>450</v>
      </c>
      <c r="P43" s="67">
        <f t="shared" si="24"/>
        <v>193</v>
      </c>
    </row>
    <row r="44" spans="1:16" ht="22.5" customHeight="1" x14ac:dyDescent="0.2">
      <c r="A44" s="173">
        <v>1995</v>
      </c>
      <c r="B44" s="175" t="s">
        <v>40</v>
      </c>
      <c r="C44" s="177" t="s">
        <v>26</v>
      </c>
      <c r="D44" s="4" t="s">
        <v>27</v>
      </c>
      <c r="E44" s="16">
        <v>50000</v>
      </c>
      <c r="F44" s="17">
        <v>46749</v>
      </c>
      <c r="G44" s="18">
        <v>46614</v>
      </c>
      <c r="H44" s="34">
        <f t="shared" si="2"/>
        <v>93.23</v>
      </c>
      <c r="I44" s="34">
        <f t="shared" si="19"/>
        <v>99.71</v>
      </c>
      <c r="J44" s="80">
        <v>3958</v>
      </c>
      <c r="K44" s="61">
        <v>14468</v>
      </c>
      <c r="L44" s="81">
        <v>3610</v>
      </c>
      <c r="M44" s="44">
        <f t="shared" si="20"/>
        <v>91.21</v>
      </c>
      <c r="N44" s="53">
        <f>ROUNDDOWN(J44*1000/365,0)</f>
        <v>10843</v>
      </c>
      <c r="O44" s="58">
        <f>ROUND(J44*1000000/G44/365,0)</f>
        <v>233</v>
      </c>
      <c r="P44" s="48">
        <f>ROUND(L44*1000000/G44/365,0)</f>
        <v>212</v>
      </c>
    </row>
    <row r="45" spans="1:16" ht="22.5" customHeight="1" x14ac:dyDescent="0.2">
      <c r="A45" s="174"/>
      <c r="B45" s="176"/>
      <c r="C45" s="178"/>
      <c r="D45" s="179" t="s">
        <v>28</v>
      </c>
      <c r="E45" s="19">
        <v>5085</v>
      </c>
      <c r="F45" s="20">
        <v>4005</v>
      </c>
      <c r="G45" s="21">
        <v>3426</v>
      </c>
      <c r="H45" s="35">
        <f t="shared" si="2"/>
        <v>67.37</v>
      </c>
      <c r="I45" s="35">
        <f t="shared" si="19"/>
        <v>85.54</v>
      </c>
      <c r="J45" s="74">
        <v>678029</v>
      </c>
      <c r="K45" s="75">
        <f>273+15240</f>
        <v>15513</v>
      </c>
      <c r="L45" s="76">
        <v>574735</v>
      </c>
      <c r="M45" s="40">
        <f t="shared" si="20"/>
        <v>84.77</v>
      </c>
      <c r="N45" s="52">
        <f>ROUNDDOWN(J45/365,0)</f>
        <v>1857</v>
      </c>
      <c r="O45" s="59">
        <f t="shared" ref="O45:O47" si="25">ROUND(J45*1000/G45/365,0)</f>
        <v>542</v>
      </c>
      <c r="P45" s="49">
        <f t="shared" ref="P45:P47" si="26">ROUND(L45*1000/G45/365,0)</f>
        <v>460</v>
      </c>
    </row>
    <row r="46" spans="1:16" ht="22.5" customHeight="1" x14ac:dyDescent="0.2">
      <c r="A46" s="174"/>
      <c r="B46" s="176"/>
      <c r="C46" s="103" t="s">
        <v>29</v>
      </c>
      <c r="D46" s="180"/>
      <c r="E46" s="22">
        <v>2700</v>
      </c>
      <c r="F46" s="23">
        <v>2640</v>
      </c>
      <c r="G46" s="24">
        <v>2533</v>
      </c>
      <c r="H46" s="35">
        <f t="shared" si="2"/>
        <v>93.81</v>
      </c>
      <c r="I46" s="35">
        <f t="shared" si="19"/>
        <v>95.95</v>
      </c>
      <c r="J46" s="82">
        <v>331867</v>
      </c>
      <c r="K46" s="87">
        <f>527</f>
        <v>527</v>
      </c>
      <c r="L46" s="83">
        <v>238375</v>
      </c>
      <c r="M46" s="41">
        <f t="shared" si="20"/>
        <v>71.83</v>
      </c>
      <c r="N46" s="52">
        <f>ROUNDDOWN(J46/365,0)</f>
        <v>909</v>
      </c>
      <c r="O46" s="59">
        <f t="shared" si="25"/>
        <v>359</v>
      </c>
      <c r="P46" s="49">
        <f t="shared" si="26"/>
        <v>258</v>
      </c>
    </row>
    <row r="47" spans="1:16" ht="22.5" customHeight="1" x14ac:dyDescent="0.2">
      <c r="A47" s="174"/>
      <c r="B47" s="176"/>
      <c r="C47" s="60" t="s">
        <v>30</v>
      </c>
      <c r="D47" s="180"/>
      <c r="E47" s="28">
        <v>4240</v>
      </c>
      <c r="F47" s="29">
        <v>2273</v>
      </c>
      <c r="G47" s="30">
        <v>2266</v>
      </c>
      <c r="H47" s="37">
        <f t="shared" si="2"/>
        <v>53.44</v>
      </c>
      <c r="I47" s="37">
        <f t="shared" si="19"/>
        <v>99.69</v>
      </c>
      <c r="J47" s="84">
        <v>353255</v>
      </c>
      <c r="K47" s="88">
        <f>587+667</f>
        <v>1254</v>
      </c>
      <c r="L47" s="86">
        <v>159791</v>
      </c>
      <c r="M47" s="43">
        <f t="shared" si="20"/>
        <v>45.23</v>
      </c>
      <c r="N47" s="68">
        <f>ROUNDDOWN(J47/365,0)</f>
        <v>967</v>
      </c>
      <c r="O47" s="69">
        <f t="shared" si="25"/>
        <v>427</v>
      </c>
      <c r="P47" s="70">
        <f t="shared" si="26"/>
        <v>193</v>
      </c>
    </row>
    <row r="48" spans="1:16" ht="22.5" customHeight="1" x14ac:dyDescent="0.2">
      <c r="A48" s="130">
        <v>1996</v>
      </c>
      <c r="B48" s="133" t="s">
        <v>41</v>
      </c>
      <c r="C48" s="136" t="s">
        <v>42</v>
      </c>
      <c r="D48" s="4" t="s">
        <v>27</v>
      </c>
      <c r="E48" s="16">
        <v>50000</v>
      </c>
      <c r="F48" s="17">
        <v>46910</v>
      </c>
      <c r="G48" s="18">
        <v>46763</v>
      </c>
      <c r="H48" s="34">
        <f t="shared" si="2"/>
        <v>93.53</v>
      </c>
      <c r="I48" s="34">
        <f t="shared" si="19"/>
        <v>99.69</v>
      </c>
      <c r="J48" s="80">
        <v>4109</v>
      </c>
      <c r="K48" s="61">
        <v>14674</v>
      </c>
      <c r="L48" s="81">
        <v>3664</v>
      </c>
      <c r="M48" s="44">
        <f t="shared" si="20"/>
        <v>89.17</v>
      </c>
      <c r="N48" s="53">
        <f>ROUNDDOWN(J48*1000/365,0)</f>
        <v>11257</v>
      </c>
      <c r="O48" s="58">
        <f>ROUND(J48*1000000/G48/365,0)</f>
        <v>241</v>
      </c>
      <c r="P48" s="48">
        <f>ROUND(L48*1000000/G48/365,0)</f>
        <v>215</v>
      </c>
    </row>
    <row r="49" spans="1:16" ht="22.5" customHeight="1" x14ac:dyDescent="0.2">
      <c r="A49" s="131"/>
      <c r="B49" s="134"/>
      <c r="C49" s="137"/>
      <c r="D49" s="138" t="s">
        <v>28</v>
      </c>
      <c r="E49" s="19">
        <v>5085</v>
      </c>
      <c r="F49" s="20">
        <v>4043</v>
      </c>
      <c r="G49" s="21">
        <v>3477</v>
      </c>
      <c r="H49" s="35">
        <f t="shared" si="2"/>
        <v>68.38</v>
      </c>
      <c r="I49" s="35">
        <f t="shared" si="19"/>
        <v>86</v>
      </c>
      <c r="J49" s="74">
        <v>743708</v>
      </c>
      <c r="K49" s="75">
        <f>282+21280</f>
        <v>21562</v>
      </c>
      <c r="L49" s="76">
        <v>634834</v>
      </c>
      <c r="M49" s="40">
        <f t="shared" si="20"/>
        <v>85.36</v>
      </c>
      <c r="N49" s="52">
        <f>ROUNDDOWN(J49/365,0)</f>
        <v>2037</v>
      </c>
      <c r="O49" s="59">
        <f t="shared" ref="O49:O51" si="27">ROUND(J49*1000/G49/365,0)</f>
        <v>586</v>
      </c>
      <c r="P49" s="49">
        <f t="shared" ref="P49:P51" si="28">ROUND(L49*1000/G49/365,0)</f>
        <v>500</v>
      </c>
    </row>
    <row r="50" spans="1:16" ht="22.5" customHeight="1" x14ac:dyDescent="0.2">
      <c r="A50" s="131"/>
      <c r="B50" s="134"/>
      <c r="C50" s="99" t="s">
        <v>29</v>
      </c>
      <c r="D50" s="138"/>
      <c r="E50" s="19">
        <v>2700</v>
      </c>
      <c r="F50" s="20">
        <v>2593</v>
      </c>
      <c r="G50" s="21">
        <v>2509</v>
      </c>
      <c r="H50" s="35">
        <f t="shared" si="2"/>
        <v>92.93</v>
      </c>
      <c r="I50" s="35">
        <f t="shared" si="19"/>
        <v>96.76</v>
      </c>
      <c r="J50" s="74">
        <v>321955</v>
      </c>
      <c r="K50" s="75">
        <f>532</f>
        <v>532</v>
      </c>
      <c r="L50" s="76">
        <v>240384</v>
      </c>
      <c r="M50" s="40">
        <f t="shared" si="20"/>
        <v>74.66</v>
      </c>
      <c r="N50" s="52">
        <f>ROUNDDOWN(J50/365,0)</f>
        <v>882</v>
      </c>
      <c r="O50" s="59">
        <f t="shared" si="27"/>
        <v>352</v>
      </c>
      <c r="P50" s="49">
        <f t="shared" si="28"/>
        <v>262</v>
      </c>
    </row>
    <row r="51" spans="1:16" ht="22.5" customHeight="1" x14ac:dyDescent="0.2">
      <c r="A51" s="132"/>
      <c r="B51" s="135"/>
      <c r="C51" s="1" t="s">
        <v>30</v>
      </c>
      <c r="D51" s="139"/>
      <c r="E51" s="62">
        <v>4240</v>
      </c>
      <c r="F51" s="63">
        <v>2250</v>
      </c>
      <c r="G51" s="64">
        <v>2243</v>
      </c>
      <c r="H51" s="36">
        <f t="shared" si="2"/>
        <v>52.9</v>
      </c>
      <c r="I51" s="36">
        <f t="shared" si="19"/>
        <v>99.69</v>
      </c>
      <c r="J51" s="77">
        <v>400964</v>
      </c>
      <c r="K51" s="78">
        <f>672+928</f>
        <v>1600</v>
      </c>
      <c r="L51" s="79">
        <v>160983</v>
      </c>
      <c r="M51" s="42">
        <f t="shared" si="20"/>
        <v>40.15</v>
      </c>
      <c r="N51" s="65">
        <f>ROUNDDOWN(J51/365,0)</f>
        <v>1098</v>
      </c>
      <c r="O51" s="66">
        <f t="shared" si="27"/>
        <v>490</v>
      </c>
      <c r="P51" s="67">
        <f t="shared" si="28"/>
        <v>197</v>
      </c>
    </row>
    <row r="52" spans="1:16" ht="22.5" customHeight="1" x14ac:dyDescent="0.2">
      <c r="A52" s="173">
        <v>1997</v>
      </c>
      <c r="B52" s="175" t="s">
        <v>43</v>
      </c>
      <c r="C52" s="102" t="s">
        <v>42</v>
      </c>
      <c r="D52" s="4" t="s">
        <v>27</v>
      </c>
      <c r="E52" s="16">
        <v>69300</v>
      </c>
      <c r="F52" s="17">
        <v>52463</v>
      </c>
      <c r="G52" s="18">
        <v>51865</v>
      </c>
      <c r="H52" s="34">
        <f t="shared" si="2"/>
        <v>74.84</v>
      </c>
      <c r="I52" s="34">
        <f t="shared" si="19"/>
        <v>98.86</v>
      </c>
      <c r="J52" s="80">
        <v>5094</v>
      </c>
      <c r="K52" s="61">
        <v>16590</v>
      </c>
      <c r="L52" s="81">
        <v>4467</v>
      </c>
      <c r="M52" s="44">
        <f t="shared" si="20"/>
        <v>87.69</v>
      </c>
      <c r="N52" s="53">
        <f>ROUNDDOWN(J52*1000/365,0)</f>
        <v>13956</v>
      </c>
      <c r="O52" s="58">
        <f>ROUND(J52*1000000/G52/365,0)</f>
        <v>269</v>
      </c>
      <c r="P52" s="48">
        <f>ROUND(L52*1000000/G52/365,0)</f>
        <v>236</v>
      </c>
    </row>
    <row r="53" spans="1:16" ht="22.5" customHeight="1" x14ac:dyDescent="0.2">
      <c r="A53" s="174"/>
      <c r="B53" s="176"/>
      <c r="C53" s="103" t="s">
        <v>29</v>
      </c>
      <c r="D53" s="180" t="s">
        <v>44</v>
      </c>
      <c r="E53" s="22">
        <v>2700</v>
      </c>
      <c r="F53" s="23">
        <v>2566</v>
      </c>
      <c r="G53" s="24">
        <v>2482</v>
      </c>
      <c r="H53" s="35">
        <f t="shared" si="2"/>
        <v>91.93</v>
      </c>
      <c r="I53" s="35">
        <f t="shared" si="19"/>
        <v>96.73</v>
      </c>
      <c r="J53" s="82">
        <v>303072</v>
      </c>
      <c r="K53" s="87">
        <f>586</f>
        <v>586</v>
      </c>
      <c r="L53" s="83">
        <v>236008</v>
      </c>
      <c r="M53" s="41">
        <f t="shared" si="20"/>
        <v>77.87</v>
      </c>
      <c r="N53" s="52">
        <f>ROUNDDOWN(J53/365,0)</f>
        <v>830</v>
      </c>
      <c r="O53" s="59">
        <f t="shared" ref="O53:O54" si="29">ROUND(J53*1000/G53/365,0)</f>
        <v>335</v>
      </c>
      <c r="P53" s="49">
        <f t="shared" ref="P53:P54" si="30">ROUND(L53*1000/G53/365,0)</f>
        <v>261</v>
      </c>
    </row>
    <row r="54" spans="1:16" ht="22.5" customHeight="1" x14ac:dyDescent="0.2">
      <c r="A54" s="174"/>
      <c r="B54" s="176"/>
      <c r="C54" s="60" t="s">
        <v>30</v>
      </c>
      <c r="D54" s="180"/>
      <c r="E54" s="28">
        <v>4240</v>
      </c>
      <c r="F54" s="29">
        <v>2211</v>
      </c>
      <c r="G54" s="30">
        <v>2209</v>
      </c>
      <c r="H54" s="37">
        <f t="shared" si="2"/>
        <v>52.1</v>
      </c>
      <c r="I54" s="37">
        <f t="shared" si="19"/>
        <v>99.91</v>
      </c>
      <c r="J54" s="84">
        <v>388327</v>
      </c>
      <c r="K54" s="88">
        <f>703+471</f>
        <v>1174</v>
      </c>
      <c r="L54" s="86">
        <v>169214</v>
      </c>
      <c r="M54" s="43">
        <f t="shared" si="20"/>
        <v>43.58</v>
      </c>
      <c r="N54" s="68">
        <f>ROUNDDOWN(J54/365,0)</f>
        <v>1063</v>
      </c>
      <c r="O54" s="69">
        <f t="shared" si="29"/>
        <v>482</v>
      </c>
      <c r="P54" s="70">
        <f t="shared" si="30"/>
        <v>210</v>
      </c>
    </row>
    <row r="55" spans="1:16" ht="22.5" customHeight="1" x14ac:dyDescent="0.2">
      <c r="A55" s="130">
        <v>1998</v>
      </c>
      <c r="B55" s="133" t="s">
        <v>45</v>
      </c>
      <c r="C55" s="98" t="s">
        <v>42</v>
      </c>
      <c r="D55" s="4" t="s">
        <v>27</v>
      </c>
      <c r="E55" s="16">
        <v>69300</v>
      </c>
      <c r="F55" s="17">
        <v>55188</v>
      </c>
      <c r="G55" s="18">
        <v>53375</v>
      </c>
      <c r="H55" s="34">
        <f t="shared" si="2"/>
        <v>77.02</v>
      </c>
      <c r="I55" s="34">
        <f t="shared" si="19"/>
        <v>96.71</v>
      </c>
      <c r="J55" s="80">
        <v>5099</v>
      </c>
      <c r="K55" s="61">
        <f>16616</f>
        <v>16616</v>
      </c>
      <c r="L55" s="81">
        <v>4586</v>
      </c>
      <c r="M55" s="44">
        <f t="shared" si="20"/>
        <v>89.94</v>
      </c>
      <c r="N55" s="53">
        <f>ROUNDDOWN(J55*1000/365,0)</f>
        <v>13969</v>
      </c>
      <c r="O55" s="58">
        <f>ROUND(J55*1000000/G55/365,0)</f>
        <v>262</v>
      </c>
      <c r="P55" s="48">
        <f>ROUND(L55*1000000/G55/365,0)</f>
        <v>235</v>
      </c>
    </row>
    <row r="56" spans="1:16" ht="22.5" customHeight="1" x14ac:dyDescent="0.2">
      <c r="A56" s="131"/>
      <c r="B56" s="134"/>
      <c r="C56" s="99" t="s">
        <v>29</v>
      </c>
      <c r="D56" s="138" t="s">
        <v>44</v>
      </c>
      <c r="E56" s="19">
        <v>2700</v>
      </c>
      <c r="F56" s="20">
        <v>2565</v>
      </c>
      <c r="G56" s="21">
        <v>2481</v>
      </c>
      <c r="H56" s="35">
        <f t="shared" si="2"/>
        <v>91.89</v>
      </c>
      <c r="I56" s="35">
        <f t="shared" si="19"/>
        <v>96.73</v>
      </c>
      <c r="J56" s="74">
        <v>298851</v>
      </c>
      <c r="K56" s="75">
        <f>486</f>
        <v>486</v>
      </c>
      <c r="L56" s="76">
        <v>230314</v>
      </c>
      <c r="M56" s="40">
        <f t="shared" si="20"/>
        <v>77.069999999999993</v>
      </c>
      <c r="N56" s="52">
        <f>ROUNDDOWN(J56/365,0)</f>
        <v>818</v>
      </c>
      <c r="O56" s="59">
        <f t="shared" ref="O56:O57" si="31">ROUND(J56*1000/G56/365,0)</f>
        <v>330</v>
      </c>
      <c r="P56" s="49">
        <f t="shared" ref="P56:P57" si="32">ROUND(L56*1000/G56/365,0)</f>
        <v>254</v>
      </c>
    </row>
    <row r="57" spans="1:16" ht="22.5" customHeight="1" x14ac:dyDescent="0.2">
      <c r="A57" s="132"/>
      <c r="B57" s="135"/>
      <c r="C57" s="1" t="s">
        <v>30</v>
      </c>
      <c r="D57" s="139"/>
      <c r="E57" s="62">
        <v>4240</v>
      </c>
      <c r="F57" s="63">
        <v>2126</v>
      </c>
      <c r="G57" s="64">
        <v>2119</v>
      </c>
      <c r="H57" s="36">
        <f t="shared" si="2"/>
        <v>49.98</v>
      </c>
      <c r="I57" s="36">
        <f t="shared" si="19"/>
        <v>99.67</v>
      </c>
      <c r="J57" s="77">
        <v>335356</v>
      </c>
      <c r="K57" s="78">
        <f>687+456</f>
        <v>1143</v>
      </c>
      <c r="L57" s="79">
        <v>172201</v>
      </c>
      <c r="M57" s="42">
        <f t="shared" si="20"/>
        <v>51.35</v>
      </c>
      <c r="N57" s="65">
        <f>ROUNDDOWN(J57/365,0)</f>
        <v>918</v>
      </c>
      <c r="O57" s="66">
        <f t="shared" si="31"/>
        <v>434</v>
      </c>
      <c r="P57" s="67">
        <f t="shared" si="32"/>
        <v>223</v>
      </c>
    </row>
    <row r="58" spans="1:16" ht="22.5" customHeight="1" x14ac:dyDescent="0.2">
      <c r="A58" s="173">
        <v>1999</v>
      </c>
      <c r="B58" s="175" t="s">
        <v>46</v>
      </c>
      <c r="C58" s="102" t="s">
        <v>42</v>
      </c>
      <c r="D58" s="4" t="s">
        <v>27</v>
      </c>
      <c r="E58" s="16">
        <v>69300</v>
      </c>
      <c r="F58" s="17">
        <v>55640</v>
      </c>
      <c r="G58" s="18">
        <v>54082</v>
      </c>
      <c r="H58" s="34">
        <f t="shared" si="2"/>
        <v>78.040000000000006</v>
      </c>
      <c r="I58" s="34">
        <f t="shared" si="19"/>
        <v>97.2</v>
      </c>
      <c r="J58" s="80">
        <v>5199</v>
      </c>
      <c r="K58" s="61">
        <v>18419</v>
      </c>
      <c r="L58" s="81">
        <v>4707</v>
      </c>
      <c r="M58" s="44">
        <f t="shared" si="20"/>
        <v>90.54</v>
      </c>
      <c r="N58" s="53">
        <f>ROUNDDOWN(J58*1000/365,0)</f>
        <v>14243</v>
      </c>
      <c r="O58" s="58">
        <f>ROUND(J58*1000000/G58/365,0)</f>
        <v>263</v>
      </c>
      <c r="P58" s="48">
        <f>ROUND(L58*1000000/G58/365,0)</f>
        <v>238</v>
      </c>
    </row>
    <row r="59" spans="1:16" ht="22.5" customHeight="1" x14ac:dyDescent="0.2">
      <c r="A59" s="174"/>
      <c r="B59" s="176"/>
      <c r="C59" s="103" t="s">
        <v>29</v>
      </c>
      <c r="D59" s="180" t="s">
        <v>44</v>
      </c>
      <c r="E59" s="22">
        <v>2700</v>
      </c>
      <c r="F59" s="23">
        <v>2490</v>
      </c>
      <c r="G59" s="24">
        <v>2406</v>
      </c>
      <c r="H59" s="35">
        <f t="shared" si="2"/>
        <v>89.11</v>
      </c>
      <c r="I59" s="35">
        <f t="shared" si="19"/>
        <v>96.63</v>
      </c>
      <c r="J59" s="82">
        <v>330527</v>
      </c>
      <c r="K59" s="87">
        <f>569</f>
        <v>569</v>
      </c>
      <c r="L59" s="83">
        <v>244306</v>
      </c>
      <c r="M59" s="41">
        <f t="shared" si="20"/>
        <v>73.91</v>
      </c>
      <c r="N59" s="52">
        <f>ROUNDDOWN(J59/365,0)</f>
        <v>905</v>
      </c>
      <c r="O59" s="59">
        <f t="shared" ref="O59:O60" si="33">ROUND(J59*1000/G59/365,0)</f>
        <v>376</v>
      </c>
      <c r="P59" s="49">
        <f t="shared" ref="P59:P60" si="34">ROUND(L59*1000/G59/365,0)</f>
        <v>278</v>
      </c>
    </row>
    <row r="60" spans="1:16" ht="22.5" customHeight="1" x14ac:dyDescent="0.2">
      <c r="A60" s="174"/>
      <c r="B60" s="176"/>
      <c r="C60" s="60" t="s">
        <v>30</v>
      </c>
      <c r="D60" s="180"/>
      <c r="E60" s="28">
        <v>2580</v>
      </c>
      <c r="F60" s="29">
        <v>2079</v>
      </c>
      <c r="G60" s="30">
        <v>2070</v>
      </c>
      <c r="H60" s="37">
        <f t="shared" si="2"/>
        <v>80.23</v>
      </c>
      <c r="I60" s="37">
        <f t="shared" si="19"/>
        <v>99.57</v>
      </c>
      <c r="J60" s="84">
        <v>375215</v>
      </c>
      <c r="K60" s="88">
        <f>709+607</f>
        <v>1316</v>
      </c>
      <c r="L60" s="86">
        <v>168394</v>
      </c>
      <c r="M60" s="43">
        <f t="shared" si="20"/>
        <v>44.88</v>
      </c>
      <c r="N60" s="68">
        <f>ROUNDDOWN(J60/365,0)</f>
        <v>1027</v>
      </c>
      <c r="O60" s="69">
        <f t="shared" si="33"/>
        <v>497</v>
      </c>
      <c r="P60" s="70">
        <f t="shared" si="34"/>
        <v>223</v>
      </c>
    </row>
    <row r="61" spans="1:16" ht="22.5" customHeight="1" x14ac:dyDescent="0.2">
      <c r="A61" s="130">
        <v>2000</v>
      </c>
      <c r="B61" s="133" t="s">
        <v>47</v>
      </c>
      <c r="C61" s="98" t="s">
        <v>42</v>
      </c>
      <c r="D61" s="4" t="s">
        <v>27</v>
      </c>
      <c r="E61" s="16">
        <v>69300</v>
      </c>
      <c r="F61" s="17">
        <v>55882</v>
      </c>
      <c r="G61" s="18">
        <v>54410</v>
      </c>
      <c r="H61" s="34">
        <f t="shared" si="2"/>
        <v>78.510000000000005</v>
      </c>
      <c r="I61" s="34">
        <f t="shared" si="19"/>
        <v>97.37</v>
      </c>
      <c r="J61" s="80">
        <v>5231</v>
      </c>
      <c r="K61" s="61">
        <v>17147</v>
      </c>
      <c r="L61" s="81">
        <v>4779</v>
      </c>
      <c r="M61" s="44">
        <f t="shared" si="20"/>
        <v>91.36</v>
      </c>
      <c r="N61" s="53">
        <f>ROUNDDOWN(J61*1000/365,0)</f>
        <v>14331</v>
      </c>
      <c r="O61" s="58">
        <f>ROUND(J61*1000000/G61/365,0)</f>
        <v>263</v>
      </c>
      <c r="P61" s="48">
        <f>ROUND(L61*1000000/G61/365,0)</f>
        <v>241</v>
      </c>
    </row>
    <row r="62" spans="1:16" ht="22.5" customHeight="1" x14ac:dyDescent="0.2">
      <c r="A62" s="131"/>
      <c r="B62" s="134"/>
      <c r="C62" s="99" t="s">
        <v>29</v>
      </c>
      <c r="D62" s="138" t="s">
        <v>44</v>
      </c>
      <c r="E62" s="19">
        <v>2500</v>
      </c>
      <c r="F62" s="20">
        <v>2454</v>
      </c>
      <c r="G62" s="21">
        <v>2382</v>
      </c>
      <c r="H62" s="35">
        <f t="shared" si="2"/>
        <v>95.28</v>
      </c>
      <c r="I62" s="35">
        <f t="shared" si="19"/>
        <v>97.07</v>
      </c>
      <c r="J62" s="74">
        <v>329370</v>
      </c>
      <c r="K62" s="75">
        <f>562</f>
        <v>562</v>
      </c>
      <c r="L62" s="76">
        <v>242784</v>
      </c>
      <c r="M62" s="40">
        <f t="shared" si="20"/>
        <v>73.709999999999994</v>
      </c>
      <c r="N62" s="52">
        <f>ROUNDDOWN(J62/365,0)</f>
        <v>902</v>
      </c>
      <c r="O62" s="59">
        <f t="shared" ref="O62:O63" si="35">ROUND(J62*1000/G62/365,0)</f>
        <v>379</v>
      </c>
      <c r="P62" s="49">
        <f t="shared" ref="P62:P63" si="36">ROUND(L62*1000/G62/365,0)</f>
        <v>279</v>
      </c>
    </row>
    <row r="63" spans="1:16" ht="22.5" customHeight="1" x14ac:dyDescent="0.2">
      <c r="A63" s="132"/>
      <c r="B63" s="135"/>
      <c r="C63" s="1" t="s">
        <v>30</v>
      </c>
      <c r="D63" s="139"/>
      <c r="E63" s="62">
        <v>2580</v>
      </c>
      <c r="F63" s="63">
        <v>2255</v>
      </c>
      <c r="G63" s="64">
        <v>2251</v>
      </c>
      <c r="H63" s="36">
        <f t="shared" si="2"/>
        <v>87.25</v>
      </c>
      <c r="I63" s="36">
        <f t="shared" si="19"/>
        <v>99.82</v>
      </c>
      <c r="J63" s="77">
        <v>349934</v>
      </c>
      <c r="K63" s="78">
        <f>598+981</f>
        <v>1579</v>
      </c>
      <c r="L63" s="79">
        <v>171926</v>
      </c>
      <c r="M63" s="42">
        <f t="shared" si="20"/>
        <v>49.13</v>
      </c>
      <c r="N63" s="65">
        <f>ROUNDDOWN(J63/365,0)</f>
        <v>958</v>
      </c>
      <c r="O63" s="66">
        <f t="shared" si="35"/>
        <v>426</v>
      </c>
      <c r="P63" s="67">
        <f t="shared" si="36"/>
        <v>209</v>
      </c>
    </row>
    <row r="64" spans="1:16" ht="22.5" customHeight="1" x14ac:dyDescent="0.2">
      <c r="A64" s="173">
        <v>2001</v>
      </c>
      <c r="B64" s="175" t="s">
        <v>48</v>
      </c>
      <c r="C64" s="102" t="s">
        <v>42</v>
      </c>
      <c r="D64" s="4" t="s">
        <v>27</v>
      </c>
      <c r="E64" s="16">
        <v>69300</v>
      </c>
      <c r="F64" s="17">
        <v>56075</v>
      </c>
      <c r="G64" s="18">
        <v>54770</v>
      </c>
      <c r="H64" s="34">
        <f t="shared" si="2"/>
        <v>79.03</v>
      </c>
      <c r="I64" s="34">
        <f t="shared" ref="I64:I87" si="37">ROUND(G64/F64*100,2)</f>
        <v>97.67</v>
      </c>
      <c r="J64" s="80">
        <v>5231</v>
      </c>
      <c r="K64" s="61">
        <v>17571</v>
      </c>
      <c r="L64" s="81">
        <v>4723</v>
      </c>
      <c r="M64" s="44">
        <f t="shared" ref="M64:M87" si="38">ROUND(L64/J64*100,2)</f>
        <v>90.29</v>
      </c>
      <c r="N64" s="53">
        <f>ROUNDDOWN(J64*1000/365,0)</f>
        <v>14331</v>
      </c>
      <c r="O64" s="58">
        <f>ROUND(J64*1000000/G64/365,0)</f>
        <v>262</v>
      </c>
      <c r="P64" s="48">
        <f>ROUND(L64*1000000/G64/365,0)</f>
        <v>236</v>
      </c>
    </row>
    <row r="65" spans="1:16" ht="22.5" customHeight="1" x14ac:dyDescent="0.2">
      <c r="A65" s="174"/>
      <c r="B65" s="176"/>
      <c r="C65" s="103" t="s">
        <v>29</v>
      </c>
      <c r="D65" s="180" t="s">
        <v>44</v>
      </c>
      <c r="E65" s="22">
        <v>2500</v>
      </c>
      <c r="F65" s="23">
        <v>2417</v>
      </c>
      <c r="G65" s="24">
        <v>2346</v>
      </c>
      <c r="H65" s="35">
        <f t="shared" ref="H65:H97" si="39">ROUND(G65/E65*100,2)</f>
        <v>93.84</v>
      </c>
      <c r="I65" s="35">
        <f t="shared" si="37"/>
        <v>97.06</v>
      </c>
      <c r="J65" s="82">
        <v>331756</v>
      </c>
      <c r="K65" s="87">
        <f>570</f>
        <v>570</v>
      </c>
      <c r="L65" s="83">
        <v>254315</v>
      </c>
      <c r="M65" s="41">
        <f t="shared" si="38"/>
        <v>76.66</v>
      </c>
      <c r="N65" s="52">
        <f>ROUNDDOWN(J65/365,0)</f>
        <v>908</v>
      </c>
      <c r="O65" s="59">
        <f t="shared" ref="O65:O66" si="40">ROUND(J65*1000/G65/365,0)</f>
        <v>387</v>
      </c>
      <c r="P65" s="49">
        <f t="shared" ref="P65:P66" si="41">ROUND(L65*1000/G65/365,0)</f>
        <v>297</v>
      </c>
    </row>
    <row r="66" spans="1:16" ht="22.5" customHeight="1" x14ac:dyDescent="0.2">
      <c r="A66" s="174"/>
      <c r="B66" s="176"/>
      <c r="C66" s="60" t="s">
        <v>30</v>
      </c>
      <c r="D66" s="180"/>
      <c r="E66" s="28">
        <v>2580</v>
      </c>
      <c r="F66" s="29">
        <v>2255</v>
      </c>
      <c r="G66" s="30">
        <v>2251</v>
      </c>
      <c r="H66" s="37">
        <f t="shared" si="39"/>
        <v>87.25</v>
      </c>
      <c r="I66" s="37">
        <f t="shared" si="37"/>
        <v>99.82</v>
      </c>
      <c r="J66" s="84">
        <v>349934</v>
      </c>
      <c r="K66" s="88">
        <f>598+981</f>
        <v>1579</v>
      </c>
      <c r="L66" s="86">
        <v>171926</v>
      </c>
      <c r="M66" s="43">
        <f t="shared" si="38"/>
        <v>49.13</v>
      </c>
      <c r="N66" s="68">
        <f>ROUNDDOWN(J66/365,0)</f>
        <v>958</v>
      </c>
      <c r="O66" s="69">
        <f t="shared" si="40"/>
        <v>426</v>
      </c>
      <c r="P66" s="70">
        <f t="shared" si="41"/>
        <v>209</v>
      </c>
    </row>
    <row r="67" spans="1:16" ht="22.5" customHeight="1" x14ac:dyDescent="0.2">
      <c r="A67" s="130">
        <v>2002</v>
      </c>
      <c r="B67" s="133" t="s">
        <v>49</v>
      </c>
      <c r="C67" s="98" t="s">
        <v>42</v>
      </c>
      <c r="D67" s="4" t="s">
        <v>27</v>
      </c>
      <c r="E67" s="16">
        <v>69300</v>
      </c>
      <c r="F67" s="17">
        <v>56390</v>
      </c>
      <c r="G67" s="18">
        <v>55542</v>
      </c>
      <c r="H67" s="34">
        <f t="shared" si="39"/>
        <v>80.150000000000006</v>
      </c>
      <c r="I67" s="34">
        <f t="shared" si="37"/>
        <v>98.5</v>
      </c>
      <c r="J67" s="80">
        <v>5285</v>
      </c>
      <c r="K67" s="61">
        <v>17312</v>
      </c>
      <c r="L67" s="81">
        <v>4778</v>
      </c>
      <c r="M67" s="44">
        <f t="shared" si="38"/>
        <v>90.41</v>
      </c>
      <c r="N67" s="53">
        <f>ROUNDDOWN(J67*1000/365,0)</f>
        <v>14479</v>
      </c>
      <c r="O67" s="58">
        <f>ROUND(J67*1000000/G67/365,0)</f>
        <v>261</v>
      </c>
      <c r="P67" s="48">
        <f>ROUND(L67*1000000/G67/365,0)</f>
        <v>236</v>
      </c>
    </row>
    <row r="68" spans="1:16" ht="22.5" customHeight="1" x14ac:dyDescent="0.2">
      <c r="A68" s="131"/>
      <c r="B68" s="134"/>
      <c r="C68" s="99" t="s">
        <v>29</v>
      </c>
      <c r="D68" s="138" t="s">
        <v>44</v>
      </c>
      <c r="E68" s="19">
        <v>2500</v>
      </c>
      <c r="F68" s="20">
        <v>2397</v>
      </c>
      <c r="G68" s="21">
        <v>2331</v>
      </c>
      <c r="H68" s="35">
        <f t="shared" si="39"/>
        <v>93.24</v>
      </c>
      <c r="I68" s="35">
        <f t="shared" si="37"/>
        <v>97.25</v>
      </c>
      <c r="J68" s="74">
        <v>303466</v>
      </c>
      <c r="K68" s="75">
        <f>549</f>
        <v>549</v>
      </c>
      <c r="L68" s="76">
        <v>246086</v>
      </c>
      <c r="M68" s="40">
        <f t="shared" si="38"/>
        <v>81.09</v>
      </c>
      <c r="N68" s="52">
        <f>ROUNDDOWN(J68/365,0)</f>
        <v>831</v>
      </c>
      <c r="O68" s="59">
        <f t="shared" ref="O68:O69" si="42">ROUND(J68*1000/G68/365,0)</f>
        <v>357</v>
      </c>
      <c r="P68" s="49">
        <f t="shared" ref="P68:P69" si="43">ROUND(L68*1000/G68/365,0)</f>
        <v>289</v>
      </c>
    </row>
    <row r="69" spans="1:16" ht="22.5" customHeight="1" x14ac:dyDescent="0.2">
      <c r="A69" s="132"/>
      <c r="B69" s="135"/>
      <c r="C69" s="1" t="s">
        <v>30</v>
      </c>
      <c r="D69" s="139"/>
      <c r="E69" s="62">
        <v>2580</v>
      </c>
      <c r="F69" s="63">
        <v>2252</v>
      </c>
      <c r="G69" s="64">
        <v>2183</v>
      </c>
      <c r="H69" s="36">
        <f t="shared" si="39"/>
        <v>84.61</v>
      </c>
      <c r="I69" s="36">
        <f t="shared" si="37"/>
        <v>96.94</v>
      </c>
      <c r="J69" s="77">
        <v>365846</v>
      </c>
      <c r="K69" s="78">
        <f>618+981</f>
        <v>1599</v>
      </c>
      <c r="L69" s="79">
        <v>184831</v>
      </c>
      <c r="M69" s="42">
        <f t="shared" si="38"/>
        <v>50.52</v>
      </c>
      <c r="N69" s="65">
        <f>ROUNDDOWN(J69/365,0)</f>
        <v>1002</v>
      </c>
      <c r="O69" s="66">
        <f t="shared" si="42"/>
        <v>459</v>
      </c>
      <c r="P69" s="67">
        <f t="shared" si="43"/>
        <v>232</v>
      </c>
    </row>
    <row r="70" spans="1:16" ht="22.5" customHeight="1" x14ac:dyDescent="0.2">
      <c r="A70" s="173">
        <v>2003</v>
      </c>
      <c r="B70" s="175" t="s">
        <v>50</v>
      </c>
      <c r="C70" s="102" t="s">
        <v>42</v>
      </c>
      <c r="D70" s="4" t="s">
        <v>27</v>
      </c>
      <c r="E70" s="16">
        <v>69300</v>
      </c>
      <c r="F70" s="17">
        <v>56568</v>
      </c>
      <c r="G70" s="18">
        <v>55935</v>
      </c>
      <c r="H70" s="34">
        <f t="shared" si="39"/>
        <v>80.709999999999994</v>
      </c>
      <c r="I70" s="34">
        <f t="shared" si="37"/>
        <v>98.88</v>
      </c>
      <c r="J70" s="80">
        <v>5226</v>
      </c>
      <c r="K70" s="61">
        <v>16698</v>
      </c>
      <c r="L70" s="81">
        <v>4776</v>
      </c>
      <c r="M70" s="44">
        <f t="shared" si="38"/>
        <v>91.39</v>
      </c>
      <c r="N70" s="53">
        <f>ROUNDDOWN(J70*1000/365,0)</f>
        <v>14317</v>
      </c>
      <c r="O70" s="58">
        <f>ROUND(J70*1000000/G70/365,0)</f>
        <v>256</v>
      </c>
      <c r="P70" s="48">
        <f>ROUND(L70*1000000/G70/365,0)</f>
        <v>234</v>
      </c>
    </row>
    <row r="71" spans="1:16" ht="22.5" customHeight="1" x14ac:dyDescent="0.2">
      <c r="A71" s="174"/>
      <c r="B71" s="176"/>
      <c r="C71" s="103" t="s">
        <v>29</v>
      </c>
      <c r="D71" s="180" t="s">
        <v>44</v>
      </c>
      <c r="E71" s="22">
        <v>2500</v>
      </c>
      <c r="F71" s="23">
        <v>2333</v>
      </c>
      <c r="G71" s="24">
        <v>2267</v>
      </c>
      <c r="H71" s="35">
        <f t="shared" si="39"/>
        <v>90.68</v>
      </c>
      <c r="I71" s="35">
        <f t="shared" si="37"/>
        <v>97.17</v>
      </c>
      <c r="J71" s="82">
        <v>303696</v>
      </c>
      <c r="K71" s="87">
        <f>532</f>
        <v>532</v>
      </c>
      <c r="L71" s="83">
        <v>252089</v>
      </c>
      <c r="M71" s="41">
        <f t="shared" si="38"/>
        <v>83.01</v>
      </c>
      <c r="N71" s="52">
        <f>ROUNDDOWN(J71/365,0)</f>
        <v>832</v>
      </c>
      <c r="O71" s="59">
        <f t="shared" ref="O71:O72" si="44">ROUND(J71*1000/G71/365,0)</f>
        <v>367</v>
      </c>
      <c r="P71" s="49">
        <f t="shared" ref="P71:P72" si="45">ROUND(L71*1000/G71/365,0)</f>
        <v>305</v>
      </c>
    </row>
    <row r="72" spans="1:16" ht="22.5" customHeight="1" x14ac:dyDescent="0.2">
      <c r="A72" s="174"/>
      <c r="B72" s="176"/>
      <c r="C72" s="60" t="s">
        <v>30</v>
      </c>
      <c r="D72" s="180"/>
      <c r="E72" s="28">
        <v>2580</v>
      </c>
      <c r="F72" s="29">
        <v>2191</v>
      </c>
      <c r="G72" s="30">
        <v>2138</v>
      </c>
      <c r="H72" s="37">
        <f t="shared" si="39"/>
        <v>82.87</v>
      </c>
      <c r="I72" s="37">
        <f t="shared" si="37"/>
        <v>97.58</v>
      </c>
      <c r="J72" s="84">
        <v>301859</v>
      </c>
      <c r="K72" s="88">
        <f>630+1020</f>
        <v>1650</v>
      </c>
      <c r="L72" s="86">
        <v>183908</v>
      </c>
      <c r="M72" s="43">
        <f t="shared" si="38"/>
        <v>60.93</v>
      </c>
      <c r="N72" s="68">
        <f>ROUNDDOWN(J72/365,0)</f>
        <v>827</v>
      </c>
      <c r="O72" s="69">
        <f t="shared" si="44"/>
        <v>387</v>
      </c>
      <c r="P72" s="70">
        <f t="shared" si="45"/>
        <v>236</v>
      </c>
    </row>
    <row r="73" spans="1:16" ht="22.5" customHeight="1" x14ac:dyDescent="0.2">
      <c r="A73" s="130">
        <v>2004</v>
      </c>
      <c r="B73" s="133" t="s">
        <v>51</v>
      </c>
      <c r="C73" s="98" t="s">
        <v>42</v>
      </c>
      <c r="D73" s="4" t="s">
        <v>27</v>
      </c>
      <c r="E73" s="16">
        <v>69300</v>
      </c>
      <c r="F73" s="17">
        <v>56828</v>
      </c>
      <c r="G73" s="18">
        <v>56303</v>
      </c>
      <c r="H73" s="34">
        <f t="shared" si="39"/>
        <v>81.25</v>
      </c>
      <c r="I73" s="34">
        <f t="shared" si="37"/>
        <v>99.08</v>
      </c>
      <c r="J73" s="80">
        <v>5205</v>
      </c>
      <c r="K73" s="61">
        <v>16857</v>
      </c>
      <c r="L73" s="81">
        <v>4788</v>
      </c>
      <c r="M73" s="44">
        <f t="shared" si="38"/>
        <v>91.99</v>
      </c>
      <c r="N73" s="53">
        <f>ROUNDDOWN(J73*1000/365,0)</f>
        <v>14260</v>
      </c>
      <c r="O73" s="58">
        <f>ROUND(J73*1000000/G73/365,0)</f>
        <v>253</v>
      </c>
      <c r="P73" s="48">
        <f>ROUND(L73*1000000/G73/365,0)</f>
        <v>233</v>
      </c>
    </row>
    <row r="74" spans="1:16" ht="22.5" customHeight="1" x14ac:dyDescent="0.2">
      <c r="A74" s="131"/>
      <c r="B74" s="134"/>
      <c r="C74" s="99" t="s">
        <v>29</v>
      </c>
      <c r="D74" s="138" t="s">
        <v>44</v>
      </c>
      <c r="E74" s="19">
        <v>2500</v>
      </c>
      <c r="F74" s="20">
        <v>2295</v>
      </c>
      <c r="G74" s="21">
        <v>2231</v>
      </c>
      <c r="H74" s="35">
        <f t="shared" si="39"/>
        <v>89.24</v>
      </c>
      <c r="I74" s="35">
        <f t="shared" si="37"/>
        <v>97.21</v>
      </c>
      <c r="J74" s="74">
        <v>340829</v>
      </c>
      <c r="K74" s="75">
        <f>650</f>
        <v>650</v>
      </c>
      <c r="L74" s="76">
        <v>260105</v>
      </c>
      <c r="M74" s="40">
        <f t="shared" si="38"/>
        <v>76.319999999999993</v>
      </c>
      <c r="N74" s="52">
        <f>ROUNDDOWN(J74/365,0)</f>
        <v>933</v>
      </c>
      <c r="O74" s="59">
        <f t="shared" ref="O74:O75" si="46">ROUND(J74*1000/G74/365,0)</f>
        <v>419</v>
      </c>
      <c r="P74" s="49">
        <f t="shared" ref="P74:P75" si="47">ROUND(L74*1000/G74/365,0)</f>
        <v>319</v>
      </c>
    </row>
    <row r="75" spans="1:16" ht="22.5" customHeight="1" x14ac:dyDescent="0.2">
      <c r="A75" s="132"/>
      <c r="B75" s="135"/>
      <c r="C75" s="1" t="s">
        <v>30</v>
      </c>
      <c r="D75" s="139"/>
      <c r="E75" s="62">
        <v>2580</v>
      </c>
      <c r="F75" s="63">
        <v>2068</v>
      </c>
      <c r="G75" s="64">
        <v>2059</v>
      </c>
      <c r="H75" s="36">
        <f t="shared" si="39"/>
        <v>79.81</v>
      </c>
      <c r="I75" s="36">
        <f t="shared" si="37"/>
        <v>99.56</v>
      </c>
      <c r="J75" s="77">
        <v>257843</v>
      </c>
      <c r="K75" s="78">
        <f>698+1000</f>
        <v>1698</v>
      </c>
      <c r="L75" s="79">
        <v>157803</v>
      </c>
      <c r="M75" s="42">
        <f t="shared" si="38"/>
        <v>61.2</v>
      </c>
      <c r="N75" s="65">
        <f>ROUNDDOWN(J75/365,0)</f>
        <v>706</v>
      </c>
      <c r="O75" s="66">
        <f t="shared" si="46"/>
        <v>343</v>
      </c>
      <c r="P75" s="67">
        <f t="shared" si="47"/>
        <v>210</v>
      </c>
    </row>
    <row r="76" spans="1:16" ht="22.5" customHeight="1" x14ac:dyDescent="0.2">
      <c r="A76" s="173">
        <v>2005</v>
      </c>
      <c r="B76" s="175" t="s">
        <v>52</v>
      </c>
      <c r="C76" s="102" t="s">
        <v>42</v>
      </c>
      <c r="D76" s="4" t="s">
        <v>27</v>
      </c>
      <c r="E76" s="16">
        <v>69300</v>
      </c>
      <c r="F76" s="17">
        <v>56980</v>
      </c>
      <c r="G76" s="18">
        <v>56569</v>
      </c>
      <c r="H76" s="34">
        <f t="shared" si="39"/>
        <v>81.63</v>
      </c>
      <c r="I76" s="34">
        <f t="shared" si="37"/>
        <v>99.28</v>
      </c>
      <c r="J76" s="80">
        <v>5181</v>
      </c>
      <c r="K76" s="61">
        <v>16641</v>
      </c>
      <c r="L76" s="81">
        <v>4819</v>
      </c>
      <c r="M76" s="44">
        <f t="shared" si="38"/>
        <v>93.01</v>
      </c>
      <c r="N76" s="53">
        <f>ROUNDDOWN(J76*1000/365,0)</f>
        <v>14194</v>
      </c>
      <c r="O76" s="58">
        <f>ROUND(J76*1000000/G76/365,0)</f>
        <v>251</v>
      </c>
      <c r="P76" s="48">
        <f>ROUND(L76*1000000/G76/365,0)</f>
        <v>233</v>
      </c>
    </row>
    <row r="77" spans="1:16" ht="22.5" customHeight="1" x14ac:dyDescent="0.2">
      <c r="A77" s="174"/>
      <c r="B77" s="176"/>
      <c r="C77" s="103" t="s">
        <v>53</v>
      </c>
      <c r="D77" s="180" t="s">
        <v>44</v>
      </c>
      <c r="E77" s="22">
        <v>2500</v>
      </c>
      <c r="F77" s="23">
        <v>2216</v>
      </c>
      <c r="G77" s="24">
        <v>2151</v>
      </c>
      <c r="H77" s="35">
        <f t="shared" si="39"/>
        <v>86.04</v>
      </c>
      <c r="I77" s="35">
        <f t="shared" si="37"/>
        <v>97.07</v>
      </c>
      <c r="J77" s="82">
        <v>352870</v>
      </c>
      <c r="K77" s="87">
        <f>702</f>
        <v>702</v>
      </c>
      <c r="L77" s="83">
        <v>271717</v>
      </c>
      <c r="M77" s="41">
        <f t="shared" si="38"/>
        <v>77</v>
      </c>
      <c r="N77" s="52">
        <f>ROUNDDOWN(J77/365,0)</f>
        <v>966</v>
      </c>
      <c r="O77" s="59">
        <f t="shared" ref="O77:O78" si="48">ROUND(J77*1000/G77/365,0)</f>
        <v>449</v>
      </c>
      <c r="P77" s="49">
        <f t="shared" ref="P77:P78" si="49">ROUND(L77*1000/G77/365,0)</f>
        <v>346</v>
      </c>
    </row>
    <row r="78" spans="1:16" ht="22.5" customHeight="1" x14ac:dyDescent="0.2">
      <c r="A78" s="174"/>
      <c r="B78" s="176"/>
      <c r="C78" s="60" t="s">
        <v>54</v>
      </c>
      <c r="D78" s="180"/>
      <c r="E78" s="28">
        <v>2580</v>
      </c>
      <c r="F78" s="29">
        <v>1983</v>
      </c>
      <c r="G78" s="30">
        <v>1959</v>
      </c>
      <c r="H78" s="37">
        <f t="shared" si="39"/>
        <v>75.930000000000007</v>
      </c>
      <c r="I78" s="37">
        <f t="shared" si="37"/>
        <v>98.79</v>
      </c>
      <c r="J78" s="84">
        <v>248200</v>
      </c>
      <c r="K78" s="88">
        <f>804+927</f>
        <v>1731</v>
      </c>
      <c r="L78" s="86">
        <v>157907</v>
      </c>
      <c r="M78" s="43">
        <f t="shared" si="38"/>
        <v>63.62</v>
      </c>
      <c r="N78" s="68">
        <f>ROUNDDOWN(J78/365,0)</f>
        <v>680</v>
      </c>
      <c r="O78" s="69">
        <f t="shared" si="48"/>
        <v>347</v>
      </c>
      <c r="P78" s="70">
        <f t="shared" si="49"/>
        <v>221</v>
      </c>
    </row>
    <row r="79" spans="1:16" ht="22.5" customHeight="1" x14ac:dyDescent="0.2">
      <c r="A79" s="130">
        <v>2006</v>
      </c>
      <c r="B79" s="133" t="s">
        <v>55</v>
      </c>
      <c r="C79" s="98" t="s">
        <v>42</v>
      </c>
      <c r="D79" s="4" t="s">
        <v>27</v>
      </c>
      <c r="E79" s="16"/>
      <c r="F79" s="17"/>
      <c r="G79" s="18"/>
      <c r="H79" s="34"/>
      <c r="I79" s="34"/>
      <c r="J79" s="80"/>
      <c r="K79" s="61"/>
      <c r="L79" s="81"/>
      <c r="M79" s="44"/>
      <c r="N79" s="53"/>
      <c r="O79" s="58"/>
      <c r="P79" s="48"/>
    </row>
    <row r="80" spans="1:16" ht="22.5" customHeight="1" x14ac:dyDescent="0.2">
      <c r="A80" s="131"/>
      <c r="B80" s="134"/>
      <c r="C80" s="99" t="s">
        <v>53</v>
      </c>
      <c r="D80" s="138" t="s">
        <v>44</v>
      </c>
      <c r="E80" s="19"/>
      <c r="F80" s="20"/>
      <c r="G80" s="21"/>
      <c r="H80" s="35"/>
      <c r="I80" s="35"/>
      <c r="J80" s="74"/>
      <c r="K80" s="75"/>
      <c r="L80" s="76"/>
      <c r="M80" s="40"/>
      <c r="N80" s="52"/>
      <c r="O80" s="59"/>
      <c r="P80" s="49"/>
    </row>
    <row r="81" spans="1:16" ht="22.5" customHeight="1" x14ac:dyDescent="0.2">
      <c r="A81" s="132"/>
      <c r="B81" s="135"/>
      <c r="C81" s="1" t="s">
        <v>54</v>
      </c>
      <c r="D81" s="139"/>
      <c r="E81" s="62"/>
      <c r="F81" s="63"/>
      <c r="G81" s="64"/>
      <c r="H81" s="36"/>
      <c r="I81" s="36"/>
      <c r="J81" s="77"/>
      <c r="K81" s="78"/>
      <c r="L81" s="79"/>
      <c r="M81" s="42"/>
      <c r="N81" s="65"/>
      <c r="O81" s="66"/>
      <c r="P81" s="67"/>
    </row>
    <row r="82" spans="1:16" ht="22.5" customHeight="1" x14ac:dyDescent="0.2">
      <c r="A82" s="173">
        <v>2007</v>
      </c>
      <c r="B82" s="175" t="s">
        <v>56</v>
      </c>
      <c r="C82" s="102" t="s">
        <v>42</v>
      </c>
      <c r="D82" s="4" t="s">
        <v>27</v>
      </c>
      <c r="E82" s="16">
        <v>69300</v>
      </c>
      <c r="F82" s="17">
        <v>57451</v>
      </c>
      <c r="G82" s="18">
        <v>57102</v>
      </c>
      <c r="H82" s="34">
        <f t="shared" si="39"/>
        <v>82.4</v>
      </c>
      <c r="I82" s="34">
        <f t="shared" si="37"/>
        <v>99.39</v>
      </c>
      <c r="J82" s="80">
        <v>5203</v>
      </c>
      <c r="K82" s="61">
        <v>16735</v>
      </c>
      <c r="L82" s="81">
        <v>4851</v>
      </c>
      <c r="M82" s="44">
        <f t="shared" si="38"/>
        <v>93.23</v>
      </c>
      <c r="N82" s="53">
        <f>ROUNDDOWN(J82*1000/365,0)</f>
        <v>14254</v>
      </c>
      <c r="O82" s="58">
        <f>ROUND(J82*1000000/G82/365,0)</f>
        <v>250</v>
      </c>
      <c r="P82" s="48">
        <f>ROUND(L82*1000000/G82/365,0)</f>
        <v>233</v>
      </c>
    </row>
    <row r="83" spans="1:16" ht="22.5" customHeight="1" x14ac:dyDescent="0.2">
      <c r="A83" s="174"/>
      <c r="B83" s="176"/>
      <c r="C83" s="103" t="s">
        <v>53</v>
      </c>
      <c r="D83" s="180" t="s">
        <v>44</v>
      </c>
      <c r="E83" s="22">
        <v>2500</v>
      </c>
      <c r="F83" s="23">
        <v>2096</v>
      </c>
      <c r="G83" s="24">
        <v>2037</v>
      </c>
      <c r="H83" s="35">
        <f t="shared" si="39"/>
        <v>81.48</v>
      </c>
      <c r="I83" s="35">
        <f t="shared" si="37"/>
        <v>97.19</v>
      </c>
      <c r="J83" s="82">
        <v>335372</v>
      </c>
      <c r="K83" s="87">
        <f>702</f>
        <v>702</v>
      </c>
      <c r="L83" s="83">
        <v>236233</v>
      </c>
      <c r="M83" s="41">
        <f t="shared" si="38"/>
        <v>70.44</v>
      </c>
      <c r="N83" s="52">
        <f>ROUNDDOWN(J83/365,0)</f>
        <v>918</v>
      </c>
      <c r="O83" s="59">
        <f t="shared" ref="O83:O84" si="50">ROUND(J83*1000/G83/365,0)</f>
        <v>451</v>
      </c>
      <c r="P83" s="49">
        <f t="shared" ref="P83:P84" si="51">ROUND(L83*1000/G83/365,0)</f>
        <v>318</v>
      </c>
    </row>
    <row r="84" spans="1:16" ht="22.5" customHeight="1" x14ac:dyDescent="0.2">
      <c r="A84" s="181"/>
      <c r="B84" s="182"/>
      <c r="C84" s="8" t="s">
        <v>54</v>
      </c>
      <c r="D84" s="183"/>
      <c r="E84" s="25">
        <v>2580</v>
      </c>
      <c r="F84" s="26">
        <v>1881</v>
      </c>
      <c r="G84" s="27">
        <v>1844</v>
      </c>
      <c r="H84" s="36">
        <f t="shared" si="39"/>
        <v>71.47</v>
      </c>
      <c r="I84" s="36">
        <f t="shared" si="37"/>
        <v>98.03</v>
      </c>
      <c r="J84" s="91">
        <v>216595</v>
      </c>
      <c r="K84" s="92">
        <f>701+848</f>
        <v>1549</v>
      </c>
      <c r="L84" s="93">
        <v>140787</v>
      </c>
      <c r="M84" s="45">
        <f t="shared" si="38"/>
        <v>65</v>
      </c>
      <c r="N84" s="65">
        <f>ROUNDDOWN(J84/365,0)</f>
        <v>593</v>
      </c>
      <c r="O84" s="66">
        <f t="shared" si="50"/>
        <v>322</v>
      </c>
      <c r="P84" s="67">
        <f t="shared" si="51"/>
        <v>209</v>
      </c>
    </row>
    <row r="85" spans="1:16" ht="22.5" customHeight="1" x14ac:dyDescent="0.2">
      <c r="A85" s="130">
        <v>2008</v>
      </c>
      <c r="B85" s="133" t="s">
        <v>57</v>
      </c>
      <c r="C85" s="98" t="s">
        <v>42</v>
      </c>
      <c r="D85" s="4" t="s">
        <v>27</v>
      </c>
      <c r="E85" s="16">
        <v>69300</v>
      </c>
      <c r="F85" s="17">
        <v>57400</v>
      </c>
      <c r="G85" s="18">
        <v>57102</v>
      </c>
      <c r="H85" s="34">
        <f t="shared" si="39"/>
        <v>82.4</v>
      </c>
      <c r="I85" s="34">
        <f t="shared" si="37"/>
        <v>99.48</v>
      </c>
      <c r="J85" s="80">
        <v>5130</v>
      </c>
      <c r="K85" s="61">
        <v>16399</v>
      </c>
      <c r="L85" s="81">
        <v>4778</v>
      </c>
      <c r="M85" s="44">
        <f t="shared" si="38"/>
        <v>93.14</v>
      </c>
      <c r="N85" s="53">
        <f>ROUNDDOWN(J85*1000/365,0)</f>
        <v>14054</v>
      </c>
      <c r="O85" s="58">
        <f>ROUND(J85*1000000/G85/365,0)</f>
        <v>246</v>
      </c>
      <c r="P85" s="48">
        <f>ROUND(L85*1000000/G85/365,0)</f>
        <v>229</v>
      </c>
    </row>
    <row r="86" spans="1:16" ht="22.5" customHeight="1" x14ac:dyDescent="0.2">
      <c r="A86" s="131"/>
      <c r="B86" s="134"/>
      <c r="C86" s="99" t="s">
        <v>53</v>
      </c>
      <c r="D86" s="138" t="s">
        <v>44</v>
      </c>
      <c r="E86" s="19">
        <v>2500</v>
      </c>
      <c r="F86" s="20">
        <v>2021</v>
      </c>
      <c r="G86" s="21">
        <v>1960</v>
      </c>
      <c r="H86" s="35">
        <f t="shared" si="39"/>
        <v>78.400000000000006</v>
      </c>
      <c r="I86" s="35">
        <f t="shared" si="37"/>
        <v>96.98</v>
      </c>
      <c r="J86" s="74">
        <v>277269</v>
      </c>
      <c r="K86" s="75">
        <f>684</f>
        <v>684</v>
      </c>
      <c r="L86" s="76">
        <v>232749</v>
      </c>
      <c r="M86" s="40">
        <f t="shared" si="38"/>
        <v>83.94</v>
      </c>
      <c r="N86" s="52">
        <f>ROUNDDOWN(J86/365,0)</f>
        <v>759</v>
      </c>
      <c r="O86" s="59">
        <f t="shared" ref="O86:O87" si="52">ROUND(J86*1000/G86/365,0)</f>
        <v>388</v>
      </c>
      <c r="P86" s="49">
        <f t="shared" ref="P86:P87" si="53">ROUND(L86*1000/G86/365,0)</f>
        <v>325</v>
      </c>
    </row>
    <row r="87" spans="1:16" ht="22.5" customHeight="1" x14ac:dyDescent="0.2">
      <c r="A87" s="132"/>
      <c r="B87" s="135"/>
      <c r="C87" s="1" t="s">
        <v>54</v>
      </c>
      <c r="D87" s="139"/>
      <c r="E87" s="62">
        <v>2580</v>
      </c>
      <c r="F87" s="63">
        <v>1839</v>
      </c>
      <c r="G87" s="64">
        <v>1805</v>
      </c>
      <c r="H87" s="36">
        <f t="shared" si="39"/>
        <v>69.959999999999994</v>
      </c>
      <c r="I87" s="36">
        <f t="shared" si="37"/>
        <v>98.15</v>
      </c>
      <c r="J87" s="77">
        <v>203913</v>
      </c>
      <c r="K87" s="78">
        <f>576+614</f>
        <v>1190</v>
      </c>
      <c r="L87" s="79">
        <v>132653</v>
      </c>
      <c r="M87" s="42">
        <f t="shared" si="38"/>
        <v>65.05</v>
      </c>
      <c r="N87" s="65">
        <f>ROUNDDOWN(J87/365,0)</f>
        <v>558</v>
      </c>
      <c r="O87" s="66">
        <f t="shared" si="52"/>
        <v>310</v>
      </c>
      <c r="P87" s="67">
        <f t="shared" si="53"/>
        <v>201</v>
      </c>
    </row>
    <row r="88" spans="1:16" ht="22.5" customHeight="1" x14ac:dyDescent="0.2">
      <c r="A88" s="173">
        <v>2009</v>
      </c>
      <c r="B88" s="175" t="s">
        <v>58</v>
      </c>
      <c r="C88" s="102" t="s">
        <v>42</v>
      </c>
      <c r="D88" s="4" t="s">
        <v>27</v>
      </c>
      <c r="E88" s="16">
        <v>69300</v>
      </c>
      <c r="F88" s="17">
        <v>57441</v>
      </c>
      <c r="G88" s="18">
        <v>57217</v>
      </c>
      <c r="H88" s="34">
        <f t="shared" si="39"/>
        <v>82.56</v>
      </c>
      <c r="I88" s="34">
        <f t="shared" ref="I88:I97" si="54">ROUND(G88/F88*100,2)</f>
        <v>99.61</v>
      </c>
      <c r="J88" s="80">
        <v>5195</v>
      </c>
      <c r="K88" s="61">
        <v>16439</v>
      </c>
      <c r="L88" s="81">
        <v>4797</v>
      </c>
      <c r="M88" s="44">
        <f t="shared" ref="M88:M97" si="55">ROUND(L88/J88*100,2)</f>
        <v>92.34</v>
      </c>
      <c r="N88" s="54">
        <f>ROUNDDOWN(J88*1000/365,0)</f>
        <v>14232</v>
      </c>
      <c r="O88" s="58">
        <f>ROUND(J88*1000000/G88/365,0)</f>
        <v>249</v>
      </c>
      <c r="P88" s="48">
        <f>ROUND(L88*1000000/G88/365,0)</f>
        <v>230</v>
      </c>
    </row>
    <row r="89" spans="1:16" ht="22.5" customHeight="1" x14ac:dyDescent="0.2">
      <c r="A89" s="174"/>
      <c r="B89" s="176"/>
      <c r="C89" s="103" t="s">
        <v>53</v>
      </c>
      <c r="D89" s="180" t="s">
        <v>44</v>
      </c>
      <c r="E89" s="22">
        <v>2500</v>
      </c>
      <c r="F89" s="23">
        <v>1998</v>
      </c>
      <c r="G89" s="24">
        <v>1946</v>
      </c>
      <c r="H89" s="35">
        <f t="shared" si="39"/>
        <v>77.84</v>
      </c>
      <c r="I89" s="35">
        <f t="shared" si="54"/>
        <v>97.4</v>
      </c>
      <c r="J89" s="82">
        <v>275682</v>
      </c>
      <c r="K89" s="87">
        <f>817</f>
        <v>817</v>
      </c>
      <c r="L89" s="83">
        <v>237057</v>
      </c>
      <c r="M89" s="41">
        <f t="shared" si="55"/>
        <v>85.99</v>
      </c>
      <c r="N89" s="52">
        <f>ROUNDDOWN(J89/365,0)</f>
        <v>755</v>
      </c>
      <c r="O89" s="59">
        <f t="shared" ref="O89:O90" si="56">ROUND(J89*1000/G89/365,0)</f>
        <v>388</v>
      </c>
      <c r="P89" s="49">
        <f t="shared" ref="P89:P90" si="57">ROUND(L89*1000/G89/365,0)</f>
        <v>334</v>
      </c>
    </row>
    <row r="90" spans="1:16" ht="22.5" customHeight="1" x14ac:dyDescent="0.2">
      <c r="A90" s="174"/>
      <c r="B90" s="176"/>
      <c r="C90" s="60" t="s">
        <v>54</v>
      </c>
      <c r="D90" s="180"/>
      <c r="E90" s="28">
        <v>2580</v>
      </c>
      <c r="F90" s="29">
        <v>1764</v>
      </c>
      <c r="G90" s="30">
        <v>1730</v>
      </c>
      <c r="H90" s="37">
        <f t="shared" si="39"/>
        <v>67.05</v>
      </c>
      <c r="I90" s="37">
        <f t="shared" si="54"/>
        <v>98.07</v>
      </c>
      <c r="J90" s="84">
        <v>212178</v>
      </c>
      <c r="K90" s="88">
        <f>612+762</f>
        <v>1374</v>
      </c>
      <c r="L90" s="86">
        <v>137590</v>
      </c>
      <c r="M90" s="43">
        <f t="shared" si="55"/>
        <v>64.849999999999994</v>
      </c>
      <c r="N90" s="52">
        <f>ROUNDDOWN(J90/365,0)</f>
        <v>581</v>
      </c>
      <c r="O90" s="59">
        <f t="shared" si="56"/>
        <v>336</v>
      </c>
      <c r="P90" s="49">
        <f t="shared" si="57"/>
        <v>218</v>
      </c>
    </row>
    <row r="91" spans="1:16" ht="22.5" customHeight="1" x14ac:dyDescent="0.2">
      <c r="A91" s="5">
        <v>2010</v>
      </c>
      <c r="B91" s="6" t="s">
        <v>59</v>
      </c>
      <c r="C91" s="9" t="s">
        <v>42</v>
      </c>
      <c r="D91" s="7" t="s">
        <v>27</v>
      </c>
      <c r="E91" s="31">
        <v>74380</v>
      </c>
      <c r="F91" s="32">
        <v>60968</v>
      </c>
      <c r="G91" s="33">
        <v>60474</v>
      </c>
      <c r="H91" s="38">
        <f t="shared" si="39"/>
        <v>81.3</v>
      </c>
      <c r="I91" s="38">
        <f t="shared" si="54"/>
        <v>99.19</v>
      </c>
      <c r="J91" s="89">
        <v>5779</v>
      </c>
      <c r="K91" s="97">
        <v>18082</v>
      </c>
      <c r="L91" s="90">
        <v>5215</v>
      </c>
      <c r="M91" s="46">
        <f t="shared" si="55"/>
        <v>90.24</v>
      </c>
      <c r="N91" s="55">
        <f t="shared" ref="N91:N97" si="58">ROUNDDOWN(J91*1000/365,0)</f>
        <v>15832</v>
      </c>
      <c r="O91" s="58">
        <f t="shared" ref="O91:O97" si="59">ROUND(J91*1000000/G91/365,0)</f>
        <v>262</v>
      </c>
      <c r="P91" s="48">
        <f t="shared" ref="P91:P97" si="60">ROUND(L91*1000000/G91/365,0)</f>
        <v>236</v>
      </c>
    </row>
    <row r="92" spans="1:16" ht="22.5" customHeight="1" x14ac:dyDescent="0.2">
      <c r="A92" s="5">
        <v>2011</v>
      </c>
      <c r="B92" s="6" t="s">
        <v>60</v>
      </c>
      <c r="C92" s="9" t="s">
        <v>42</v>
      </c>
      <c r="D92" s="7" t="s">
        <v>27</v>
      </c>
      <c r="E92" s="31">
        <v>74380</v>
      </c>
      <c r="F92" s="32">
        <v>60711</v>
      </c>
      <c r="G92" s="33">
        <v>60209</v>
      </c>
      <c r="H92" s="38">
        <f t="shared" si="39"/>
        <v>80.95</v>
      </c>
      <c r="I92" s="38">
        <f t="shared" si="54"/>
        <v>99.17</v>
      </c>
      <c r="J92" s="89">
        <v>5688</v>
      </c>
      <c r="K92" s="97">
        <v>18211</v>
      </c>
      <c r="L92" s="90">
        <v>5133</v>
      </c>
      <c r="M92" s="46">
        <f t="shared" si="55"/>
        <v>90.24</v>
      </c>
      <c r="N92" s="55">
        <f t="shared" si="58"/>
        <v>15583</v>
      </c>
      <c r="O92" s="58">
        <f t="shared" si="59"/>
        <v>259</v>
      </c>
      <c r="P92" s="48">
        <f t="shared" si="60"/>
        <v>234</v>
      </c>
    </row>
    <row r="93" spans="1:16" ht="22.5" customHeight="1" x14ac:dyDescent="0.2">
      <c r="A93" s="5">
        <v>2012</v>
      </c>
      <c r="B93" s="6" t="s">
        <v>61</v>
      </c>
      <c r="C93" s="9" t="s">
        <v>42</v>
      </c>
      <c r="D93" s="7" t="s">
        <v>27</v>
      </c>
      <c r="E93" s="31">
        <v>74380</v>
      </c>
      <c r="F93" s="32">
        <v>60362</v>
      </c>
      <c r="G93" s="33">
        <v>59897</v>
      </c>
      <c r="H93" s="38">
        <f t="shared" si="39"/>
        <v>80.53</v>
      </c>
      <c r="I93" s="38">
        <f t="shared" si="54"/>
        <v>99.23</v>
      </c>
      <c r="J93" s="89">
        <v>5684</v>
      </c>
      <c r="K93" s="97">
        <v>17861</v>
      </c>
      <c r="L93" s="90">
        <v>5103</v>
      </c>
      <c r="M93" s="46">
        <f t="shared" si="55"/>
        <v>89.78</v>
      </c>
      <c r="N93" s="55">
        <f t="shared" si="58"/>
        <v>15572</v>
      </c>
      <c r="O93" s="58">
        <f t="shared" si="59"/>
        <v>260</v>
      </c>
      <c r="P93" s="48">
        <f t="shared" si="60"/>
        <v>233</v>
      </c>
    </row>
    <row r="94" spans="1:16" ht="22.5" customHeight="1" x14ac:dyDescent="0.2">
      <c r="A94" s="5">
        <v>2013</v>
      </c>
      <c r="B94" s="6" t="s">
        <v>62</v>
      </c>
      <c r="C94" s="9" t="s">
        <v>42</v>
      </c>
      <c r="D94" s="7" t="s">
        <v>27</v>
      </c>
      <c r="E94" s="31">
        <v>61445</v>
      </c>
      <c r="F94" s="32">
        <v>59734</v>
      </c>
      <c r="G94" s="33">
        <v>59312</v>
      </c>
      <c r="H94" s="38">
        <f t="shared" si="39"/>
        <v>96.53</v>
      </c>
      <c r="I94" s="38">
        <f t="shared" si="54"/>
        <v>99.29</v>
      </c>
      <c r="J94" s="89">
        <v>5732</v>
      </c>
      <c r="K94" s="97">
        <v>18758</v>
      </c>
      <c r="L94" s="90">
        <v>5014</v>
      </c>
      <c r="M94" s="46">
        <f t="shared" si="55"/>
        <v>87.47</v>
      </c>
      <c r="N94" s="55">
        <f t="shared" si="58"/>
        <v>15704</v>
      </c>
      <c r="O94" s="58">
        <f t="shared" si="59"/>
        <v>265</v>
      </c>
      <c r="P94" s="48">
        <f t="shared" si="60"/>
        <v>232</v>
      </c>
    </row>
    <row r="95" spans="1:16" ht="22.5" customHeight="1" x14ac:dyDescent="0.2">
      <c r="A95" s="5">
        <v>2014</v>
      </c>
      <c r="B95" s="6" t="s">
        <v>63</v>
      </c>
      <c r="C95" s="9" t="s">
        <v>42</v>
      </c>
      <c r="D95" s="7" t="s">
        <v>27</v>
      </c>
      <c r="E95" s="31">
        <v>61426</v>
      </c>
      <c r="F95" s="32">
        <v>59231</v>
      </c>
      <c r="G95" s="33">
        <v>58872</v>
      </c>
      <c r="H95" s="38">
        <f t="shared" si="39"/>
        <v>95.84</v>
      </c>
      <c r="I95" s="38">
        <f t="shared" si="54"/>
        <v>99.39</v>
      </c>
      <c r="J95" s="89">
        <v>5713</v>
      </c>
      <c r="K95" s="97">
        <v>18089</v>
      </c>
      <c r="L95" s="90">
        <v>4957</v>
      </c>
      <c r="M95" s="46">
        <f t="shared" si="55"/>
        <v>86.77</v>
      </c>
      <c r="N95" s="55">
        <f t="shared" si="58"/>
        <v>15652</v>
      </c>
      <c r="O95" s="58">
        <f t="shared" si="59"/>
        <v>266</v>
      </c>
      <c r="P95" s="48">
        <f t="shared" si="60"/>
        <v>231</v>
      </c>
    </row>
    <row r="96" spans="1:16" ht="22.5" customHeight="1" x14ac:dyDescent="0.2">
      <c r="A96" s="5">
        <v>2015</v>
      </c>
      <c r="B96" s="6" t="s">
        <v>64</v>
      </c>
      <c r="C96" s="9" t="s">
        <v>42</v>
      </c>
      <c r="D96" s="7" t="s">
        <v>27</v>
      </c>
      <c r="E96" s="31">
        <v>61420</v>
      </c>
      <c r="F96" s="32">
        <v>59082</v>
      </c>
      <c r="G96" s="33">
        <v>58770</v>
      </c>
      <c r="H96" s="38">
        <f t="shared" si="39"/>
        <v>95.69</v>
      </c>
      <c r="I96" s="38">
        <f t="shared" si="54"/>
        <v>99.47</v>
      </c>
      <c r="J96" s="89">
        <v>5800</v>
      </c>
      <c r="K96" s="97">
        <v>18042</v>
      </c>
      <c r="L96" s="90">
        <v>4982</v>
      </c>
      <c r="M96" s="46">
        <f t="shared" si="55"/>
        <v>85.9</v>
      </c>
      <c r="N96" s="55">
        <f t="shared" si="58"/>
        <v>15890</v>
      </c>
      <c r="O96" s="58">
        <f t="shared" si="59"/>
        <v>270</v>
      </c>
      <c r="P96" s="48">
        <f t="shared" si="60"/>
        <v>232</v>
      </c>
    </row>
    <row r="97" spans="1:16" ht="22.5" customHeight="1" x14ac:dyDescent="0.2">
      <c r="A97" s="5">
        <v>2016</v>
      </c>
      <c r="B97" s="6" t="s">
        <v>65</v>
      </c>
      <c r="C97" s="9" t="s">
        <v>42</v>
      </c>
      <c r="D97" s="7" t="s">
        <v>27</v>
      </c>
      <c r="E97" s="31">
        <v>61420</v>
      </c>
      <c r="F97" s="32">
        <v>58796</v>
      </c>
      <c r="G97" s="33">
        <v>58510</v>
      </c>
      <c r="H97" s="38">
        <f t="shared" si="39"/>
        <v>95.26</v>
      </c>
      <c r="I97" s="38">
        <f t="shared" si="54"/>
        <v>99.51</v>
      </c>
      <c r="J97" s="89">
        <v>5811</v>
      </c>
      <c r="K97" s="97">
        <v>17773</v>
      </c>
      <c r="L97" s="90">
        <v>5011</v>
      </c>
      <c r="M97" s="46">
        <f t="shared" si="55"/>
        <v>86.23</v>
      </c>
      <c r="N97" s="55">
        <f t="shared" si="58"/>
        <v>15920</v>
      </c>
      <c r="O97" s="94">
        <f t="shared" si="59"/>
        <v>272</v>
      </c>
      <c r="P97" s="95">
        <f t="shared" si="60"/>
        <v>235</v>
      </c>
    </row>
    <row r="98" spans="1:16" ht="22.5" customHeight="1" x14ac:dyDescent="0.2">
      <c r="A98" s="5">
        <v>2017</v>
      </c>
      <c r="B98" s="6" t="s">
        <v>66</v>
      </c>
      <c r="C98" s="9" t="s">
        <v>42</v>
      </c>
      <c r="D98" s="7" t="s">
        <v>27</v>
      </c>
      <c r="E98" s="31">
        <v>61420</v>
      </c>
      <c r="F98" s="32">
        <v>58373</v>
      </c>
      <c r="G98" s="33">
        <v>58108</v>
      </c>
      <c r="H98" s="38">
        <f t="shared" ref="H98:H102" si="61">ROUND(G98/E98*100,2)</f>
        <v>94.61</v>
      </c>
      <c r="I98" s="38">
        <f t="shared" ref="I98:I102" si="62">ROUND(G98/F98*100,2)</f>
        <v>99.55</v>
      </c>
      <c r="J98" s="89">
        <v>5777</v>
      </c>
      <c r="K98" s="97">
        <v>18286</v>
      </c>
      <c r="L98" s="90">
        <v>5024</v>
      </c>
      <c r="M98" s="46">
        <f t="shared" ref="M98:M104" si="63">ROUND(L98/J98*100,2)</f>
        <v>86.97</v>
      </c>
      <c r="N98" s="55">
        <f>ROUNDDOWN(J98*1000/365,0)</f>
        <v>15827</v>
      </c>
      <c r="O98" s="94">
        <f t="shared" ref="O98:O99" si="64">ROUND(J98*1000000/G98/365,0)</f>
        <v>272</v>
      </c>
      <c r="P98" s="95">
        <f t="shared" ref="P98" si="65">ROUND(L98*1000000/G98/365,0)</f>
        <v>237</v>
      </c>
    </row>
    <row r="99" spans="1:16" ht="22.5" customHeight="1" x14ac:dyDescent="0.2">
      <c r="A99" s="5">
        <v>2018</v>
      </c>
      <c r="B99" s="104" t="s">
        <v>67</v>
      </c>
      <c r="C99" s="9" t="s">
        <v>42</v>
      </c>
      <c r="D99" s="7" t="s">
        <v>27</v>
      </c>
      <c r="E99" s="110">
        <v>74380</v>
      </c>
      <c r="F99" s="105">
        <v>58227</v>
      </c>
      <c r="G99" s="33">
        <v>57978</v>
      </c>
      <c r="H99" s="106">
        <f t="shared" si="61"/>
        <v>77.95</v>
      </c>
      <c r="I99" s="106">
        <f t="shared" si="62"/>
        <v>99.57</v>
      </c>
      <c r="J99" s="107">
        <v>5774</v>
      </c>
      <c r="K99" s="111">
        <v>18394</v>
      </c>
      <c r="L99" s="112">
        <v>5005</v>
      </c>
      <c r="M99" s="108">
        <f t="shared" si="63"/>
        <v>86.68</v>
      </c>
      <c r="N99" s="109">
        <f>ROUNDDOWN(J99*1000/365,0)</f>
        <v>15819</v>
      </c>
      <c r="O99" s="94">
        <f t="shared" si="64"/>
        <v>273</v>
      </c>
      <c r="P99" s="113">
        <f>ROUNDDOWN(L99*1000000/G99/365,0)</f>
        <v>236</v>
      </c>
    </row>
    <row r="100" spans="1:16" ht="22.5" customHeight="1" x14ac:dyDescent="0.2">
      <c r="A100" s="5">
        <v>2019</v>
      </c>
      <c r="B100" s="116" t="s">
        <v>68</v>
      </c>
      <c r="C100" s="9" t="s">
        <v>42</v>
      </c>
      <c r="D100" s="114" t="s">
        <v>27</v>
      </c>
      <c r="E100" s="117">
        <v>74380</v>
      </c>
      <c r="F100" s="118">
        <v>58194</v>
      </c>
      <c r="G100" s="33">
        <v>57985</v>
      </c>
      <c r="H100" s="119">
        <f t="shared" ref="H100" si="66">ROUND(G100/E100*100,2)</f>
        <v>77.959999999999994</v>
      </c>
      <c r="I100" s="120">
        <f t="shared" ref="I100" si="67">ROUND(G100/F100*100,2)</f>
        <v>99.64</v>
      </c>
      <c r="J100" s="107">
        <v>5833</v>
      </c>
      <c r="K100" s="115">
        <v>18262</v>
      </c>
      <c r="L100" s="112">
        <v>5060</v>
      </c>
      <c r="M100" s="46">
        <f t="shared" ref="M100" si="68">ROUND(L100/J100*100,2)</f>
        <v>86.75</v>
      </c>
      <c r="N100" s="121">
        <v>15937</v>
      </c>
      <c r="O100" s="94">
        <v>275</v>
      </c>
      <c r="P100" s="113">
        <v>238</v>
      </c>
    </row>
    <row r="101" spans="1:16" s="96" customFormat="1" ht="22.95" customHeight="1" x14ac:dyDescent="0.2">
      <c r="A101" s="122">
        <v>2020</v>
      </c>
      <c r="B101" s="116" t="s">
        <v>69</v>
      </c>
      <c r="C101" s="9" t="s">
        <v>42</v>
      </c>
      <c r="D101" s="7" t="s">
        <v>27</v>
      </c>
      <c r="E101" s="123">
        <v>74380</v>
      </c>
      <c r="F101" s="118">
        <v>58192</v>
      </c>
      <c r="G101" s="124">
        <v>58000</v>
      </c>
      <c r="H101" s="119">
        <f t="shared" si="61"/>
        <v>77.98</v>
      </c>
      <c r="I101" s="125">
        <f t="shared" si="62"/>
        <v>99.67</v>
      </c>
      <c r="J101" s="107">
        <v>5905</v>
      </c>
      <c r="K101" s="111">
        <v>18786</v>
      </c>
      <c r="L101" s="112">
        <v>5138</v>
      </c>
      <c r="M101" s="46">
        <f t="shared" si="63"/>
        <v>87.01</v>
      </c>
      <c r="N101" s="126">
        <v>16179</v>
      </c>
      <c r="O101" s="127">
        <f>ROUNDDOWN(5905334/G101/365*1000,0)</f>
        <v>278</v>
      </c>
      <c r="P101" s="113">
        <f>ROUNDDOWN(5138154/G101/366*1000,0)</f>
        <v>242</v>
      </c>
    </row>
    <row r="102" spans="1:16" ht="22.95" customHeight="1" x14ac:dyDescent="0.2">
      <c r="A102" s="5">
        <v>2021</v>
      </c>
      <c r="B102" s="128" t="s">
        <v>70</v>
      </c>
      <c r="C102" s="9" t="s">
        <v>42</v>
      </c>
      <c r="D102" s="7" t="s">
        <v>27</v>
      </c>
      <c r="E102" s="110">
        <v>74380</v>
      </c>
      <c r="F102" s="31">
        <v>57956</v>
      </c>
      <c r="G102" s="33">
        <v>57791</v>
      </c>
      <c r="H102" s="129">
        <f t="shared" si="61"/>
        <v>77.7</v>
      </c>
      <c r="I102" s="125">
        <f t="shared" si="62"/>
        <v>99.72</v>
      </c>
      <c r="J102" s="89">
        <v>6039</v>
      </c>
      <c r="K102" s="111">
        <v>18653</v>
      </c>
      <c r="L102" s="90">
        <v>5227</v>
      </c>
      <c r="M102" s="46">
        <f t="shared" si="63"/>
        <v>86.55</v>
      </c>
      <c r="N102" s="121">
        <v>16548</v>
      </c>
      <c r="O102" s="94">
        <f>ROUNDDOWN(5905334/G102/365*1000,0)</f>
        <v>279</v>
      </c>
      <c r="P102" s="95">
        <f>ROUNDDOWN(5138154/G102/366*1000,0)</f>
        <v>242</v>
      </c>
    </row>
    <row r="103" spans="1:16" ht="22.95" customHeight="1" x14ac:dyDescent="0.2">
      <c r="A103" s="5">
        <v>2022</v>
      </c>
      <c r="B103" s="128" t="s">
        <v>71</v>
      </c>
      <c r="C103" s="9" t="s">
        <v>42</v>
      </c>
      <c r="D103" s="7" t="s">
        <v>27</v>
      </c>
      <c r="E103" s="110">
        <v>74380</v>
      </c>
      <c r="F103" s="31">
        <v>57777</v>
      </c>
      <c r="G103" s="33">
        <v>57623</v>
      </c>
      <c r="H103" s="129">
        <f t="shared" ref="H103:H104" si="69">ROUND(G103/E103*100,2)</f>
        <v>77.47</v>
      </c>
      <c r="I103" s="125">
        <f t="shared" ref="I103:I104" si="70">ROUND(G103/F103*100,2)</f>
        <v>99.73</v>
      </c>
      <c r="J103" s="89">
        <v>5932</v>
      </c>
      <c r="K103" s="111">
        <v>18046</v>
      </c>
      <c r="L103" s="90">
        <v>5114</v>
      </c>
      <c r="M103" s="46">
        <f t="shared" si="63"/>
        <v>86.21</v>
      </c>
      <c r="N103" s="121">
        <v>16254</v>
      </c>
      <c r="O103" s="94">
        <f t="shared" ref="O103:O104" si="71">ROUNDDOWN(5905334/G103/365*1000,0)</f>
        <v>280</v>
      </c>
      <c r="P103" s="95">
        <f t="shared" ref="P103:P104" si="72">ROUNDDOWN(5138154/G103/366*1000,0)</f>
        <v>243</v>
      </c>
    </row>
    <row r="104" spans="1:16" ht="22.95" customHeight="1" x14ac:dyDescent="0.2">
      <c r="A104" s="5">
        <v>2023</v>
      </c>
      <c r="B104" s="128" t="s">
        <v>72</v>
      </c>
      <c r="C104" s="9" t="s">
        <v>42</v>
      </c>
      <c r="D104" s="7" t="s">
        <v>27</v>
      </c>
      <c r="E104" s="110">
        <v>74380</v>
      </c>
      <c r="F104" s="31">
        <v>57463</v>
      </c>
      <c r="G104" s="33">
        <v>57335</v>
      </c>
      <c r="H104" s="129">
        <f t="shared" si="69"/>
        <v>77.08</v>
      </c>
      <c r="I104" s="125">
        <f t="shared" si="70"/>
        <v>99.78</v>
      </c>
      <c r="J104" s="89">
        <v>6039</v>
      </c>
      <c r="K104" s="111">
        <v>18405</v>
      </c>
      <c r="L104" s="90">
        <v>5142</v>
      </c>
      <c r="M104" s="46">
        <f t="shared" si="63"/>
        <v>85.15</v>
      </c>
      <c r="N104" s="121">
        <v>16397</v>
      </c>
      <c r="O104" s="94">
        <f t="shared" si="71"/>
        <v>282</v>
      </c>
      <c r="P104" s="95">
        <f t="shared" si="72"/>
        <v>244</v>
      </c>
    </row>
  </sheetData>
  <autoFilter ref="A3:P97" xr:uid="{B5EAADB1-38ED-4E41-8392-D8E3074BA11D}"/>
  <mergeCells count="103">
    <mergeCell ref="B76:B78"/>
    <mergeCell ref="D77:D78"/>
    <mergeCell ref="A67:A69"/>
    <mergeCell ref="B67:B69"/>
    <mergeCell ref="D68:D69"/>
    <mergeCell ref="A70:A72"/>
    <mergeCell ref="B70:B72"/>
    <mergeCell ref="D71:D72"/>
    <mergeCell ref="A61:A63"/>
    <mergeCell ref="B61:B63"/>
    <mergeCell ref="D62:D63"/>
    <mergeCell ref="A64:A66"/>
    <mergeCell ref="B64:B66"/>
    <mergeCell ref="D65:D66"/>
    <mergeCell ref="A73:A75"/>
    <mergeCell ref="B73:B75"/>
    <mergeCell ref="D74:D75"/>
    <mergeCell ref="A76:A78"/>
    <mergeCell ref="A88:A90"/>
    <mergeCell ref="B88:B90"/>
    <mergeCell ref="D89:D90"/>
    <mergeCell ref="A79:A81"/>
    <mergeCell ref="B79:B81"/>
    <mergeCell ref="D80:D81"/>
    <mergeCell ref="A82:A84"/>
    <mergeCell ref="B82:B84"/>
    <mergeCell ref="D83:D84"/>
    <mergeCell ref="A85:A87"/>
    <mergeCell ref="B85:B87"/>
    <mergeCell ref="D86:D87"/>
    <mergeCell ref="A52:A54"/>
    <mergeCell ref="B52:B54"/>
    <mergeCell ref="D53:D54"/>
    <mergeCell ref="A55:A57"/>
    <mergeCell ref="B55:B57"/>
    <mergeCell ref="D56:D57"/>
    <mergeCell ref="A58:A60"/>
    <mergeCell ref="B58:B60"/>
    <mergeCell ref="D59:D60"/>
    <mergeCell ref="A40:A43"/>
    <mergeCell ref="B40:B43"/>
    <mergeCell ref="C40:C41"/>
    <mergeCell ref="D41:D43"/>
    <mergeCell ref="A44:A47"/>
    <mergeCell ref="B44:B47"/>
    <mergeCell ref="C44:C45"/>
    <mergeCell ref="D45:D47"/>
    <mergeCell ref="A48:A51"/>
    <mergeCell ref="B48:B51"/>
    <mergeCell ref="C48:C49"/>
    <mergeCell ref="D49:D51"/>
    <mergeCell ref="A12:A15"/>
    <mergeCell ref="B12:B15"/>
    <mergeCell ref="C12:C13"/>
    <mergeCell ref="D13:D15"/>
    <mergeCell ref="A32:A35"/>
    <mergeCell ref="B32:B35"/>
    <mergeCell ref="C32:C33"/>
    <mergeCell ref="D33:D35"/>
    <mergeCell ref="A16:A19"/>
    <mergeCell ref="B16:B19"/>
    <mergeCell ref="C16:C17"/>
    <mergeCell ref="D17:D19"/>
    <mergeCell ref="A20:A23"/>
    <mergeCell ref="B20:B23"/>
    <mergeCell ref="C20:C21"/>
    <mergeCell ref="D21:D23"/>
    <mergeCell ref="A36:A39"/>
    <mergeCell ref="B36:B39"/>
    <mergeCell ref="C36:C37"/>
    <mergeCell ref="D37:D39"/>
    <mergeCell ref="A24:A27"/>
    <mergeCell ref="B24:B27"/>
    <mergeCell ref="C24:C25"/>
    <mergeCell ref="D25:D27"/>
    <mergeCell ref="A28:A31"/>
    <mergeCell ref="B28:B31"/>
    <mergeCell ref="C28:C29"/>
    <mergeCell ref="D29:D31"/>
    <mergeCell ref="A8:A11"/>
    <mergeCell ref="B8:B11"/>
    <mergeCell ref="C8:C9"/>
    <mergeCell ref="D9:D11"/>
    <mergeCell ref="M1:M2"/>
    <mergeCell ref="P1:P2"/>
    <mergeCell ref="H1:I1"/>
    <mergeCell ref="J1:L1"/>
    <mergeCell ref="A1:A3"/>
    <mergeCell ref="B1:B3"/>
    <mergeCell ref="C1:C3"/>
    <mergeCell ref="D1:D3"/>
    <mergeCell ref="E2:E3"/>
    <mergeCell ref="F2:F3"/>
    <mergeCell ref="E1:G1"/>
    <mergeCell ref="G2:G3"/>
    <mergeCell ref="J2:J3"/>
    <mergeCell ref="L2:L3"/>
    <mergeCell ref="K2:K3"/>
    <mergeCell ref="N1:O1"/>
    <mergeCell ref="D5:D7"/>
    <mergeCell ref="C4:C5"/>
    <mergeCell ref="B4:B7"/>
    <mergeCell ref="A4:A7"/>
  </mergeCells>
  <phoneticPr fontId="5"/>
  <pageMargins left="0.31496062992125984" right="0.31496062992125984" top="1.1811023622047245" bottom="0.19685039370078741" header="0.9055118110236221" footer="0.31496062992125984"/>
  <pageSetup paperSize="9" orientation="landscape" horizontalDpi="300" verticalDpi="300" r:id="rId1"/>
  <headerFooter>
    <oddHeader xml:space="preserve">&amp;L&amp;14 ２－２　水道事業の状況&amp;R資料：北海道の水道（北海道環境局環境政策課）、水道部水道施設課　調
</oddHeader>
  </headerFooter>
  <rowBreaks count="4" manualBreakCount="4">
    <brk id="23" max="16383" man="1"/>
    <brk id="43" max="16383" man="1"/>
    <brk id="63" max="16383" man="1"/>
    <brk id="8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0F236E650AF984F9BCFF8BF3F59EF70" ma:contentTypeVersion="21" ma:contentTypeDescription="新しいドキュメントを作成します。" ma:contentTypeScope="" ma:versionID="c6bbf3b1c41776e01f15b6a71772762e">
  <xsd:schema xmlns:xsd="http://www.w3.org/2001/XMLSchema" xmlns:xs="http://www.w3.org/2001/XMLSchema" xmlns:p="http://schemas.microsoft.com/office/2006/metadata/properties" xmlns:ns2="a82856bb-1001-4b4b-84e6-960bc2f817c3" xmlns:ns3="eef473e7-79dd-4dbb-8daa-461d5cc3dd82" targetNamespace="http://schemas.microsoft.com/office/2006/metadata/properties" ma:root="true" ma:fieldsID="63d2a7ac43322fd8dbacbe1fc7484db9" ns2:_="" ns3:_="">
    <xsd:import namespace="a82856bb-1001-4b4b-84e6-960bc2f817c3"/>
    <xsd:import namespace="eef473e7-79dd-4dbb-8daa-461d5cc3dd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_Flow_SignoffStatu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856bb-1001-4b4b-84e6-960bc2f817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237418e-fd63-4522-8538-b7f78cad862b}" ma:internalName="TaxCatchAll" ma:showField="CatchAllData" ma:web="a82856bb-1001-4b4b-84e6-960bc2f817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473e7-79dd-4dbb-8daa-461d5cc3dd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ebfaa367-4224-4a00-be64-0ca15dc2d0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2856bb-1001-4b4b-84e6-960bc2f817c3" xsi:nil="true"/>
    <lcf76f155ced4ddcb4097134ff3c332f xmlns="eef473e7-79dd-4dbb-8daa-461d5cc3dd82">
      <Terms xmlns="http://schemas.microsoft.com/office/infopath/2007/PartnerControls"/>
    </lcf76f155ced4ddcb4097134ff3c332f>
    <_Flow_SignoffStatus xmlns="eef473e7-79dd-4dbb-8daa-461d5cc3dd8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588E68-42A9-4D96-807B-254C0D6C8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2856bb-1001-4b4b-84e6-960bc2f817c3"/>
    <ds:schemaRef ds:uri="eef473e7-79dd-4dbb-8daa-461d5cc3dd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6C7EE9-64D0-429D-9DF7-E1D0F208F6F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eef473e7-79dd-4dbb-8daa-461d5cc3dd8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82856bb-1001-4b4b-84e6-960bc2f817c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A477F0-7E94-4151-9BC6-CDDA4EB0071A}">
  <ds:schemaRefs>
    <ds:schemaRef ds:uri="http://schemas.microsoft.com/sharepoint/v3/contenttype/forms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2-2 水道事業の状況 (3)</vt:lpstr>
      <vt:lpstr>'2-2 水道事業の状況 (3)'!Print_Titles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2024-08-26T04:55:22Z</cp:lastPrinted>
  <dcterms:created xsi:type="dcterms:W3CDTF">1998-06-23T00:01:20Z</dcterms:created>
  <dcterms:modified xsi:type="dcterms:W3CDTF">2024-08-26T04:55:42Z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0x01010000F236E650AF984F9BCFF8BF3F59EF70</vt:lpwstr>
  </property>
  <property fmtid="{D5CDD505-2E9C-101B-9397-08002B2CF9AE}" pid="3" name="MediaServiceImageTags">
    <vt:lpwstr/>
  </property>
</Properties>
</file>