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65D84D4E-FE70-4D88-B5BA-E671AFBBF359}" revIDLastSave="0" xr10:uidLastSave="{00000000-0000-0000-0000-000000000000}"/>
  <bookViews>
    <workbookView tabRatio="650" xr2:uid="{00000000-000D-0000-FFFF-FFFF00000000}" windowHeight="14860" windowWidth="23260" xWindow="-110" yWindow="-110"/>
  </bookViews>
  <sheets>
    <sheet r:id="rId1" name="７　地区別５歳階級男女別人口" sheetId="47"/>
  </sheets>
  <definedNames>
    <definedName localSheetId="0" name="_xlnm.Print_Area">'７　地区別５歳階級男女別人口'!$A$1:$M$111</definedName>
    <definedName localSheetId="0" name="Q_エクスポート女">#REF!</definedName>
    <definedName name="Q_エクスポート女">#REF!</definedName>
    <definedName localSheetId="0" name="Q_エクスポート男">#REF!</definedName>
    <definedName name="Q_エクスポート男">#REF!</definedName>
    <definedName localSheetId="0" name="エクスポートデータ">#REF!</definedName>
    <definedName name="エクスポートデータ">#REF!</definedName>
    <definedName localSheetId="0" name="浜益区">#REF!</definedName>
    <definedName name="浜益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47" l="1"/>
  <c r="E111" i="47"/>
  <c r="C111" i="47"/>
  <c r="B111" i="47"/>
  <c r="L84" i="47"/>
  <c r="K84" i="47"/>
  <c r="L83" i="47"/>
  <c r="K83" i="47"/>
  <c r="L82" i="47"/>
  <c r="K82" i="47"/>
  <c r="L81" i="47"/>
  <c r="K81" i="47"/>
  <c r="L78" i="47"/>
  <c r="K78" i="47"/>
  <c r="L77" i="47"/>
  <c r="K77" i="47"/>
  <c r="L76" i="47"/>
  <c r="K76" i="47"/>
  <c r="L75" i="47"/>
  <c r="K75" i="47"/>
  <c r="L74" i="47"/>
  <c r="K74" i="47"/>
  <c r="L73" i="47"/>
  <c r="K73" i="47"/>
  <c r="L72" i="47"/>
  <c r="K72" i="47"/>
  <c r="L71" i="47"/>
  <c r="K71" i="47"/>
  <c r="L70" i="47"/>
  <c r="K70" i="47"/>
  <c r="L69" i="47"/>
  <c r="K69" i="47"/>
  <c r="L66" i="47"/>
  <c r="K66" i="47"/>
  <c r="L65" i="47"/>
  <c r="K65" i="47"/>
  <c r="L64" i="47"/>
  <c r="K64" i="47"/>
  <c r="L63" i="47"/>
  <c r="C84" i="47"/>
  <c r="B84" i="47"/>
  <c r="C83" i="47"/>
  <c r="B83" i="47"/>
  <c r="C82" i="47"/>
  <c r="B82" i="47"/>
  <c r="C81" i="47"/>
  <c r="B81" i="47"/>
  <c r="C78" i="47"/>
  <c r="B78" i="47"/>
  <c r="C77" i="47"/>
  <c r="B77" i="47"/>
  <c r="C76" i="47"/>
  <c r="B76" i="47"/>
  <c r="C75" i="47"/>
  <c r="B75" i="47"/>
  <c r="C74" i="47"/>
  <c r="B74" i="47"/>
  <c r="C73" i="47"/>
  <c r="B73" i="47"/>
  <c r="C72" i="47"/>
  <c r="B72" i="47"/>
  <c r="C71" i="47"/>
  <c r="B71" i="47"/>
  <c r="C70" i="47"/>
  <c r="B70" i="47"/>
  <c r="C69" i="47"/>
  <c r="B69" i="47"/>
  <c r="C66" i="47"/>
  <c r="B66" i="47"/>
  <c r="C65" i="47"/>
  <c r="B65" i="47"/>
  <c r="C64" i="47"/>
  <c r="B64" i="47"/>
  <c r="I45" i="47"/>
  <c r="I35" i="47"/>
  <c r="I55" i="47"/>
  <c r="H55" i="47"/>
  <c r="I54" i="47"/>
  <c r="H54" i="47"/>
  <c r="I53" i="47"/>
  <c r="H53" i="47"/>
  <c r="I52" i="47"/>
  <c r="H52" i="47"/>
  <c r="I49" i="47"/>
  <c r="H49" i="47"/>
  <c r="I48" i="47"/>
  <c r="H48" i="47"/>
  <c r="I47" i="47"/>
  <c r="H47" i="47"/>
  <c r="I46" i="47"/>
  <c r="H46" i="47"/>
  <c r="H45" i="47"/>
  <c r="I44" i="47"/>
  <c r="H44" i="47"/>
  <c r="I43" i="47"/>
  <c r="H43" i="47"/>
  <c r="I42" i="47"/>
  <c r="H42" i="47"/>
  <c r="I41" i="47"/>
  <c r="H41" i="47"/>
  <c r="I40" i="47"/>
  <c r="H40" i="47"/>
  <c r="I37" i="47"/>
  <c r="H37" i="47"/>
  <c r="I36" i="47"/>
  <c r="H36" i="47"/>
  <c r="H35" i="47"/>
  <c r="F55" i="47"/>
  <c r="E55" i="47"/>
  <c r="C55" i="47"/>
  <c r="B55" i="47"/>
  <c r="L22" i="47"/>
  <c r="L28" i="47"/>
  <c r="K28" i="47"/>
  <c r="L27" i="47"/>
  <c r="K27" i="47"/>
  <c r="L26" i="47"/>
  <c r="K26" i="47"/>
  <c r="L25" i="47"/>
  <c r="K25" i="47"/>
  <c r="K22" i="47"/>
  <c r="L21" i="47"/>
  <c r="K21" i="47"/>
  <c r="L20" i="47"/>
  <c r="K20" i="47"/>
  <c r="L19" i="47"/>
  <c r="K19" i="47"/>
  <c r="L18" i="47"/>
  <c r="K18" i="47"/>
  <c r="L17" i="47"/>
  <c r="K17" i="47"/>
  <c r="L16" i="47"/>
  <c r="K16" i="47"/>
  <c r="L15" i="47"/>
  <c r="K15" i="47"/>
  <c r="L14" i="47"/>
  <c r="K14" i="47"/>
  <c r="L13" i="47"/>
  <c r="K13" i="47"/>
  <c r="L10" i="47"/>
  <c r="K10" i="47"/>
  <c r="L9" i="47"/>
  <c r="K9" i="47"/>
  <c r="L8" i="47"/>
  <c r="K8" i="47"/>
  <c r="I28" i="47"/>
  <c r="H28" i="47"/>
  <c r="I27" i="47"/>
  <c r="H27" i="47"/>
  <c r="I26" i="47"/>
  <c r="H26" i="47"/>
  <c r="I25" i="47"/>
  <c r="H25" i="47"/>
  <c r="I22" i="47"/>
  <c r="H22" i="47"/>
  <c r="I21" i="47"/>
  <c r="H21" i="47"/>
  <c r="I20" i="47"/>
  <c r="H20" i="47"/>
  <c r="I19" i="47"/>
  <c r="H19" i="47"/>
  <c r="I18" i="47"/>
  <c r="H18" i="47"/>
  <c r="I17" i="47"/>
  <c r="H17" i="47"/>
  <c r="I16" i="47"/>
  <c r="H16" i="47"/>
  <c r="I15" i="47"/>
  <c r="H15" i="47"/>
  <c r="I14" i="47"/>
  <c r="H14" i="47"/>
  <c r="I13" i="47"/>
  <c r="H13" i="47"/>
  <c r="I10" i="47"/>
  <c r="H10" i="47"/>
  <c r="I9" i="47"/>
  <c r="H9" i="47"/>
  <c r="I8" i="47"/>
  <c r="H8" i="47"/>
  <c r="F28" i="47"/>
  <c r="E28" i="47"/>
  <c r="K63" i="47" l="1"/>
  <c r="G111" i="47"/>
  <c r="G110" i="47"/>
  <c r="G109" i="47"/>
  <c r="G108" i="47"/>
  <c r="G107" i="47"/>
  <c r="G105" i="47"/>
  <c r="G104" i="47"/>
  <c r="G103" i="47"/>
  <c r="G102" i="47"/>
  <c r="G101" i="47"/>
  <c r="G100" i="47"/>
  <c r="G99" i="47"/>
  <c r="G98" i="47"/>
  <c r="G97" i="47"/>
  <c r="G96" i="47"/>
  <c r="G93" i="47"/>
  <c r="G92" i="47"/>
  <c r="G91" i="47"/>
  <c r="D111" i="47"/>
  <c r="D110" i="47"/>
  <c r="D109" i="47"/>
  <c r="D108" i="47"/>
  <c r="D105" i="47"/>
  <c r="D104" i="47"/>
  <c r="D103" i="47"/>
  <c r="D102" i="47"/>
  <c r="D101" i="47"/>
  <c r="D100" i="47"/>
  <c r="D99" i="47"/>
  <c r="D98" i="47"/>
  <c r="D97" i="47"/>
  <c r="D96" i="47"/>
  <c r="D93" i="47"/>
  <c r="D92" i="47"/>
  <c r="D91" i="47"/>
  <c r="D90" i="47" s="1"/>
  <c r="M84" i="47"/>
  <c r="M83" i="47"/>
  <c r="M82" i="47"/>
  <c r="M81" i="47"/>
  <c r="M78" i="47"/>
  <c r="M77" i="47"/>
  <c r="M76" i="47"/>
  <c r="M75" i="47"/>
  <c r="M74" i="47"/>
  <c r="M73" i="47"/>
  <c r="M72" i="47"/>
  <c r="M71" i="47"/>
  <c r="M70" i="47"/>
  <c r="M69" i="47"/>
  <c r="M66" i="47"/>
  <c r="M63" i="47" s="1"/>
  <c r="M65" i="47"/>
  <c r="M64" i="47"/>
  <c r="J84" i="47"/>
  <c r="J83" i="47"/>
  <c r="J82" i="47"/>
  <c r="J81" i="47"/>
  <c r="J80" i="47"/>
  <c r="J78" i="47"/>
  <c r="J77" i="47"/>
  <c r="J76" i="47"/>
  <c r="J75" i="47"/>
  <c r="J74" i="47"/>
  <c r="J73" i="47"/>
  <c r="J72" i="47"/>
  <c r="J71" i="47"/>
  <c r="J70" i="47"/>
  <c r="J69" i="47"/>
  <c r="J68" i="47"/>
  <c r="J66" i="47"/>
  <c r="J65" i="47"/>
  <c r="J64" i="47"/>
  <c r="G84" i="47"/>
  <c r="G83" i="47"/>
  <c r="G82" i="47"/>
  <c r="G81" i="47"/>
  <c r="G80" i="47" s="1"/>
  <c r="G78" i="47"/>
  <c r="G77" i="47"/>
  <c r="G76" i="47"/>
  <c r="G75" i="47"/>
  <c r="G74" i="47"/>
  <c r="G73" i="47"/>
  <c r="G72" i="47"/>
  <c r="G71" i="47"/>
  <c r="G70" i="47"/>
  <c r="G69" i="47"/>
  <c r="G66" i="47"/>
  <c r="G65" i="47"/>
  <c r="G64" i="47"/>
  <c r="D84" i="47"/>
  <c r="D83" i="47"/>
  <c r="D82" i="47"/>
  <c r="D81" i="47"/>
  <c r="D78" i="47"/>
  <c r="D77" i="47"/>
  <c r="D76" i="47"/>
  <c r="D75" i="47"/>
  <c r="D74" i="47"/>
  <c r="D73" i="47"/>
  <c r="D72" i="47"/>
  <c r="D71" i="47"/>
  <c r="D70" i="47"/>
  <c r="D69" i="47"/>
  <c r="D66" i="47"/>
  <c r="D65" i="47"/>
  <c r="D64" i="47"/>
  <c r="M55" i="47"/>
  <c r="M54" i="47"/>
  <c r="M53" i="47"/>
  <c r="M52" i="47"/>
  <c r="M49" i="47"/>
  <c r="M48" i="47"/>
  <c r="M47" i="47"/>
  <c r="M46" i="47"/>
  <c r="M45" i="47"/>
  <c r="M44" i="47"/>
  <c r="M43" i="47"/>
  <c r="M42" i="47"/>
  <c r="M41" i="47"/>
  <c r="M40" i="47"/>
  <c r="M37" i="47"/>
  <c r="M36" i="47"/>
  <c r="M35" i="47"/>
  <c r="J55" i="47"/>
  <c r="J54" i="47"/>
  <c r="J53" i="47"/>
  <c r="J52" i="47"/>
  <c r="J49" i="47"/>
  <c r="J48" i="47"/>
  <c r="J47" i="47"/>
  <c r="J46" i="47"/>
  <c r="J45" i="47"/>
  <c r="J44" i="47"/>
  <c r="J43" i="47"/>
  <c r="J42" i="47"/>
  <c r="J41" i="47"/>
  <c r="J40" i="47"/>
  <c r="J37" i="47"/>
  <c r="J36" i="47"/>
  <c r="J35" i="47"/>
  <c r="G55" i="47"/>
  <c r="G54" i="47"/>
  <c r="G53" i="47"/>
  <c r="G52" i="47"/>
  <c r="G49" i="47"/>
  <c r="G48" i="47"/>
  <c r="G47" i="47"/>
  <c r="G46" i="47"/>
  <c r="G45" i="47"/>
  <c r="G44" i="47"/>
  <c r="G43" i="47"/>
  <c r="G42" i="47"/>
  <c r="G41" i="47"/>
  <c r="G40" i="47"/>
  <c r="G37" i="47"/>
  <c r="G36" i="47"/>
  <c r="G35" i="47"/>
  <c r="D55" i="47"/>
  <c r="D54" i="47"/>
  <c r="D53" i="47"/>
  <c r="D52" i="47"/>
  <c r="D49" i="47"/>
  <c r="D48" i="47"/>
  <c r="D47" i="47"/>
  <c r="D46" i="47"/>
  <c r="D45" i="47"/>
  <c r="D44" i="47"/>
  <c r="D43" i="47"/>
  <c r="D42" i="47"/>
  <c r="D41" i="47"/>
  <c r="D40" i="47"/>
  <c r="D37" i="47"/>
  <c r="D36" i="47"/>
  <c r="D35" i="47"/>
  <c r="M28" i="47"/>
  <c r="M27" i="47"/>
  <c r="M26" i="47"/>
  <c r="M25" i="47"/>
  <c r="M22" i="47"/>
  <c r="M21" i="47"/>
  <c r="M20" i="47"/>
  <c r="M19" i="47"/>
  <c r="M18" i="47"/>
  <c r="M17" i="47"/>
  <c r="M16" i="47"/>
  <c r="M15" i="47"/>
  <c r="M14" i="47"/>
  <c r="M13" i="47"/>
  <c r="M10" i="47"/>
  <c r="M9" i="47"/>
  <c r="M8" i="47"/>
  <c r="E12" i="47"/>
  <c r="F12" i="47"/>
  <c r="E24" i="47"/>
  <c r="F24" i="47"/>
  <c r="H12" i="47"/>
  <c r="I12" i="47"/>
  <c r="H24" i="47"/>
  <c r="I24" i="47"/>
  <c r="K12" i="47"/>
  <c r="L12" i="47"/>
  <c r="K24" i="47"/>
  <c r="L24" i="47"/>
  <c r="C27" i="47"/>
  <c r="C26" i="47"/>
  <c r="C21" i="47"/>
  <c r="C20" i="47"/>
  <c r="C17" i="47"/>
  <c r="C16" i="47"/>
  <c r="C28" i="47"/>
  <c r="B28" i="47"/>
  <c r="C22" i="47"/>
  <c r="J22" i="47"/>
  <c r="J19" i="47"/>
  <c r="C18" i="47"/>
  <c r="B18" i="47"/>
  <c r="C15" i="47"/>
  <c r="J15" i="47"/>
  <c r="C14" i="47"/>
  <c r="J14" i="47"/>
  <c r="J10" i="47"/>
  <c r="C9" i="47"/>
  <c r="B9" i="47"/>
  <c r="C19" i="47"/>
  <c r="G19" i="47"/>
  <c r="C10" i="47"/>
  <c r="B10" i="47"/>
  <c r="F107" i="47"/>
  <c r="E107" i="47"/>
  <c r="C107" i="47"/>
  <c r="B107" i="47"/>
  <c r="F95" i="47"/>
  <c r="E95" i="47"/>
  <c r="C95" i="47"/>
  <c r="B95" i="47"/>
  <c r="L80" i="47"/>
  <c r="K80" i="47"/>
  <c r="I80" i="47"/>
  <c r="H80" i="47"/>
  <c r="F80" i="47"/>
  <c r="E80" i="47"/>
  <c r="C80" i="47"/>
  <c r="B80" i="47"/>
  <c r="L68" i="47"/>
  <c r="K68" i="47"/>
  <c r="I68" i="47"/>
  <c r="H68" i="47"/>
  <c r="H61" i="47" s="1"/>
  <c r="F68" i="47"/>
  <c r="E68" i="47"/>
  <c r="C68" i="47"/>
  <c r="B68" i="47"/>
  <c r="J63" i="47"/>
  <c r="I63" i="47"/>
  <c r="H63" i="47"/>
  <c r="G63" i="47"/>
  <c r="F63" i="47"/>
  <c r="E63" i="47"/>
  <c r="C63" i="47"/>
  <c r="B63" i="47"/>
  <c r="L51" i="47"/>
  <c r="K51" i="47"/>
  <c r="I51" i="47"/>
  <c r="H51" i="47"/>
  <c r="F51" i="47"/>
  <c r="E51" i="47"/>
  <c r="C51" i="47"/>
  <c r="B51" i="47"/>
  <c r="L39" i="47"/>
  <c r="K39" i="47"/>
  <c r="I39" i="47"/>
  <c r="H39" i="47"/>
  <c r="F39" i="47"/>
  <c r="E39" i="47"/>
  <c r="C39" i="47"/>
  <c r="B39" i="47"/>
  <c r="M34" i="47"/>
  <c r="L34" i="47"/>
  <c r="K34" i="47"/>
  <c r="I34" i="47"/>
  <c r="H34" i="47"/>
  <c r="F34" i="47"/>
  <c r="E34" i="47"/>
  <c r="C34" i="47"/>
  <c r="B34" i="47"/>
  <c r="B32" i="47" s="1"/>
  <c r="G90" i="47"/>
  <c r="F90" i="47"/>
  <c r="E90" i="47"/>
  <c r="C90" i="47"/>
  <c r="B90" i="47"/>
  <c r="G95" i="47" l="1"/>
  <c r="G88" i="47" s="1"/>
  <c r="E88" i="47"/>
  <c r="D107" i="47"/>
  <c r="D95" i="47"/>
  <c r="D88" i="47" s="1"/>
  <c r="C88" i="47"/>
  <c r="M80" i="47"/>
  <c r="M68" i="47"/>
  <c r="D10" i="47"/>
  <c r="G68" i="47"/>
  <c r="G61" i="47" s="1"/>
  <c r="D80" i="47"/>
  <c r="D68" i="47"/>
  <c r="D63" i="47"/>
  <c r="M51" i="47"/>
  <c r="M39" i="47"/>
  <c r="J51" i="47"/>
  <c r="J39" i="47"/>
  <c r="H32" i="47"/>
  <c r="J34" i="47"/>
  <c r="G51" i="47"/>
  <c r="G39" i="47"/>
  <c r="G34" i="47"/>
  <c r="D51" i="47"/>
  <c r="D39" i="47"/>
  <c r="D32" i="47" s="1"/>
  <c r="D34" i="47"/>
  <c r="M24" i="47"/>
  <c r="M12" i="47"/>
  <c r="G10" i="47"/>
  <c r="B16" i="47"/>
  <c r="D16" i="47" s="1"/>
  <c r="J16" i="47"/>
  <c r="B26" i="47"/>
  <c r="D26" i="47" s="1"/>
  <c r="J26" i="47"/>
  <c r="B8" i="47"/>
  <c r="B7" i="47" s="1"/>
  <c r="J8" i="47"/>
  <c r="J7" i="47" s="1"/>
  <c r="B17" i="47"/>
  <c r="D17" i="47" s="1"/>
  <c r="J17" i="47"/>
  <c r="B27" i="47"/>
  <c r="D27" i="47" s="1"/>
  <c r="J27" i="47"/>
  <c r="J9" i="47"/>
  <c r="J28" i="47"/>
  <c r="G22" i="47"/>
  <c r="J25" i="47"/>
  <c r="K7" i="47"/>
  <c r="K5" i="47" s="1"/>
  <c r="M7" i="47"/>
  <c r="L7" i="47"/>
  <c r="B19" i="47"/>
  <c r="D19" i="47" s="1"/>
  <c r="G20" i="47"/>
  <c r="J18" i="47"/>
  <c r="G21" i="47"/>
  <c r="G27" i="47"/>
  <c r="F7" i="47"/>
  <c r="C8" i="47"/>
  <c r="C7" i="47" s="1"/>
  <c r="D18" i="47"/>
  <c r="G9" i="47"/>
  <c r="G28" i="47"/>
  <c r="H7" i="47"/>
  <c r="I7" i="47"/>
  <c r="B22" i="47"/>
  <c r="D22" i="47" s="1"/>
  <c r="J20" i="47"/>
  <c r="G18" i="47"/>
  <c r="D28" i="47"/>
  <c r="G16" i="47"/>
  <c r="G26" i="47"/>
  <c r="D9" i="47"/>
  <c r="F88" i="47"/>
  <c r="B88" i="47"/>
  <c r="L61" i="47"/>
  <c r="K61" i="47"/>
  <c r="J61" i="47"/>
  <c r="I32" i="47"/>
  <c r="K32" i="47"/>
  <c r="I61" i="47"/>
  <c r="E61" i="47"/>
  <c r="L32" i="47"/>
  <c r="F61" i="47"/>
  <c r="E32" i="47"/>
  <c r="F32" i="47"/>
  <c r="C32" i="47"/>
  <c r="L5" i="47"/>
  <c r="B61" i="47"/>
  <c r="C61" i="47"/>
  <c r="M61" i="47" l="1"/>
  <c r="D61" i="47"/>
  <c r="M32" i="47"/>
  <c r="J32" i="47"/>
  <c r="G32" i="47"/>
  <c r="J24" i="47"/>
  <c r="B20" i="47"/>
  <c r="D20" i="47" s="1"/>
  <c r="F5" i="47"/>
  <c r="H5" i="47"/>
  <c r="B21" i="47"/>
  <c r="D21" i="47" s="1"/>
  <c r="I5" i="47"/>
  <c r="G15" i="47"/>
  <c r="B15" i="47"/>
  <c r="D15" i="47" s="1"/>
  <c r="G17" i="47"/>
  <c r="C13" i="47"/>
  <c r="C12" i="47" s="1"/>
  <c r="G8" i="47"/>
  <c r="G7" i="47" s="1"/>
  <c r="J21" i="47"/>
  <c r="G14" i="47"/>
  <c r="B14" i="47"/>
  <c r="D14" i="47" s="1"/>
  <c r="E7" i="47"/>
  <c r="J13" i="47"/>
  <c r="M5" i="47"/>
  <c r="C25" i="47"/>
  <c r="C24" i="47" s="1"/>
  <c r="G25" i="47"/>
  <c r="D8" i="47"/>
  <c r="D7" i="47" s="1"/>
  <c r="G24" i="47"/>
  <c r="C5" i="47" l="1"/>
  <c r="J12" i="47"/>
  <c r="J5" i="47" s="1"/>
  <c r="G13" i="47"/>
  <c r="G12" i="47" s="1"/>
  <c r="G5" i="47" s="1"/>
  <c r="B13" i="47"/>
  <c r="B25" i="47"/>
  <c r="E5" i="47"/>
  <c r="D25" i="47" l="1"/>
  <c r="D24" i="47" s="1"/>
  <c r="B24" i="47"/>
  <c r="D13" i="47"/>
  <c r="D12" i="47" s="1"/>
  <c r="B12" i="47"/>
  <c r="B5" i="47" l="1"/>
  <c r="D5" i="47"/>
</calcChain>
</file>

<file path=xl/sharedStrings.xml><?xml version="1.0" encoding="utf-8"?>
<sst xmlns="http://schemas.openxmlformats.org/spreadsheetml/2006/main" count="152" uniqueCount="45">
  <si>
    <t>男</t>
    <rPh sb="0" eb="1">
      <t>オトコ</t>
    </rPh>
    <phoneticPr fontId="2"/>
  </si>
  <si>
    <t>女</t>
    <rPh sb="0" eb="1">
      <t>オンナ</t>
    </rPh>
    <phoneticPr fontId="2"/>
  </si>
  <si>
    <t>北生振・美登位</t>
    <rPh sb="0" eb="1">
      <t>キタ</t>
    </rPh>
    <rPh sb="1" eb="3">
      <t>オヤフル</t>
    </rPh>
    <rPh sb="4" eb="5">
      <t>ビ</t>
    </rPh>
    <rPh sb="5" eb="6">
      <t>ノボ</t>
    </rPh>
    <rPh sb="6" eb="7">
      <t>イ</t>
    </rPh>
    <phoneticPr fontId="2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</si>
  <si>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</si>
  <si>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</si>
  <si>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（５歳階級）</t>
    <rPh sb="2" eb="3">
      <t>サイ</t>
    </rPh>
    <rPh sb="3" eb="5">
      <t>カイキュウ</t>
    </rPh>
    <phoneticPr fontId="2"/>
  </si>
  <si>
    <t>花川東</t>
    <rPh sb="0" eb="1">
      <t>ハナ</t>
    </rPh>
    <rPh sb="1" eb="2">
      <t>カワ</t>
    </rPh>
    <rPh sb="2" eb="3">
      <t>ヒガシ</t>
    </rPh>
    <phoneticPr fontId="2"/>
  </si>
  <si>
    <t>緑苑台</t>
    <rPh sb="0" eb="2">
      <t>ロクエン</t>
    </rPh>
    <rPh sb="2" eb="3">
      <t>ダイ</t>
    </rPh>
    <phoneticPr fontId="2"/>
  </si>
  <si>
    <t>新港</t>
    <rPh sb="0" eb="2">
      <t>シンコウ</t>
    </rPh>
    <phoneticPr fontId="2"/>
  </si>
  <si>
    <t>中生振</t>
    <rPh sb="0" eb="1">
      <t>ナカ</t>
    </rPh>
    <rPh sb="1" eb="2">
      <t>セイ</t>
    </rPh>
    <rPh sb="2" eb="3">
      <t>オサム</t>
    </rPh>
    <phoneticPr fontId="2"/>
  </si>
  <si>
    <t>八幡・高岡・緑ヶ原</t>
    <rPh sb="0" eb="2">
      <t>ハチマン</t>
    </rPh>
    <rPh sb="3" eb="5">
      <t>タカオカ</t>
    </rPh>
    <rPh sb="6" eb="7">
      <t>ミドリ</t>
    </rPh>
    <rPh sb="8" eb="9">
      <t>ハラ</t>
    </rPh>
    <phoneticPr fontId="2"/>
  </si>
  <si>
    <t>７　地区別５歳階級男女別人口（１）</t>
    <rPh sb="2" eb="5">
      <t>チクベツ</t>
    </rPh>
    <rPh sb="6" eb="7">
      <t>サイ</t>
    </rPh>
    <rPh sb="7" eb="9">
      <t>カイキュウ</t>
    </rPh>
    <rPh sb="9" eb="12">
      <t>ダンジョベツ</t>
    </rPh>
    <rPh sb="12" eb="14">
      <t>ジンコウ</t>
    </rPh>
    <phoneticPr fontId="2"/>
  </si>
  <si>
    <t>志美・本町・親船東</t>
    <rPh sb="0" eb="1">
      <t>シ</t>
    </rPh>
    <rPh sb="1" eb="2">
      <t>ミ</t>
    </rPh>
    <rPh sb="3" eb="5">
      <t>ホンマチ</t>
    </rPh>
    <rPh sb="6" eb="9">
      <t>オヤフネヒガシ</t>
    </rPh>
    <phoneticPr fontId="2"/>
  </si>
  <si>
    <t>年少人口
（0～１4歳）</t>
    <rPh sb="0" eb="2">
      <t>ネンショウ</t>
    </rPh>
    <rPh sb="2" eb="4">
      <t>ジンコウ</t>
    </rPh>
    <rPh sb="10" eb="11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</si>
  <si>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</si>
  <si>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花川南・花川</t>
    <rPh sb="0" eb="2">
      <t>ハナカワ</t>
    </rPh>
    <rPh sb="2" eb="3">
      <t>ミナミ</t>
    </rPh>
    <rPh sb="4" eb="6">
      <t>ハナカワ</t>
    </rPh>
    <phoneticPr fontId="2"/>
  </si>
  <si>
    <t>計</t>
    <rPh sb="0" eb="1">
      <t>ケイ</t>
    </rPh>
    <phoneticPr fontId="2"/>
  </si>
  <si>
    <t>資料　住民基本台帳</t>
    <rPh sb="0" eb="2">
      <t>シリョウ</t>
    </rPh>
    <rPh sb="3" eb="5">
      <t>ジュウミン</t>
    </rPh>
    <rPh sb="5" eb="9">
      <t>キホンダイチョウ</t>
    </rPh>
    <phoneticPr fontId="2"/>
  </si>
  <si>
    <t>80歳以上</t>
    <rPh sb="2" eb="3">
      <t>サイ</t>
    </rPh>
    <rPh sb="3" eb="5">
      <t>イジョウ</t>
    </rPh>
    <phoneticPr fontId="2"/>
  </si>
  <si>
    <t>5～ 9歳</t>
    <rPh sb="4" eb="5">
      <t>サイ</t>
    </rPh>
    <phoneticPr fontId="2"/>
  </si>
  <si>
    <t>0～ 4歳</t>
    <rPh sb="4" eb="5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</si>
  <si>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</si>
  <si>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</si>
  <si>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</si>
  <si>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</si>
  <si>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</si>
  <si>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</si>
  <si>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</si>
  <si>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</si>
  <si>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</si>
  <si>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</si>
  <si>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</si>
  <si>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</si>
  <si>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</si>
  <si>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</si>
  <si>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総数</t>
    <rPh sb="0" eb="2">
      <t>ソウスウ</t>
    </rPh>
    <phoneticPr fontId="2"/>
  </si>
  <si>
    <t>花川北</t>
    <rPh sb="0" eb="2">
      <t>ハナカワ</t>
    </rPh>
    <rPh sb="2" eb="3">
      <t>キタ</t>
    </rPh>
    <phoneticPr fontId="2"/>
  </si>
  <si>
    <t>花畔</t>
    <rPh sb="0" eb="1">
      <t>ハナ</t>
    </rPh>
    <rPh sb="1" eb="2">
      <t>アゼ</t>
    </rPh>
    <phoneticPr fontId="2"/>
  </si>
  <si>
    <t>年齢</t>
    <rPh sb="0" eb="1">
      <t>トシ</t>
    </rPh>
    <rPh sb="1" eb="2">
      <t>ヨワイ</t>
    </rPh>
    <phoneticPr fontId="2"/>
  </si>
  <si>
    <t>樽川</t>
    <rPh sb="0" eb="2">
      <t>タルカワ</t>
    </rPh>
    <phoneticPr fontId="2"/>
  </si>
  <si>
    <t>総数</t>
    <rPh sb="0" eb="1">
      <t>フサ</t>
    </rPh>
    <rPh sb="1" eb="2">
      <t>カズ</t>
    </rPh>
    <phoneticPr fontId="2"/>
  </si>
  <si>
    <t>厚田区</t>
    <rPh sb="0" eb="1">
      <t>アツシ</t>
    </rPh>
    <rPh sb="1" eb="2">
      <t>タ</t>
    </rPh>
    <rPh sb="2" eb="3">
      <t>ク</t>
    </rPh>
    <phoneticPr fontId="2"/>
  </si>
  <si>
    <t>浜益区</t>
    <rPh sb="0" eb="1">
      <t>ハマ</t>
    </rPh>
    <rPh sb="1" eb="2">
      <t>エキ</t>
    </rPh>
    <rPh sb="2" eb="3">
      <t>ク</t>
    </rPh>
    <phoneticPr fontId="2"/>
  </si>
  <si>
    <t>（令和７年10月１日現在　単位：人）</t>
    <rPh sb="1" eb="3">
      <t>レイワ</t>
    </rPh>
    <rPh sb="4" eb="5">
      <t>ネン</t>
    </rPh>
    <rPh sb="7" eb="8">
      <t>ゲツ</t>
    </rPh>
    <rPh sb="9" eb="10">
      <t>ビ</t>
    </rPh>
    <rPh sb="10" eb="12">
      <t>ゲンザイ</t>
    </rPh>
    <rPh sb="13" eb="15">
      <t>タンイ</t>
    </rPh>
    <rPh sb="16" eb="17">
      <t>ニン</t>
    </rPh>
    <phoneticPr fontId="2"/>
  </si>
  <si>
    <t>７　地区別５歳階級男女別人口（２）</t>
    <rPh sb="2" eb="5">
      <t>チクベツ</t>
    </rPh>
    <rPh sb="6" eb="7">
      <t>サイ</t>
    </rPh>
    <rPh sb="7" eb="9">
      <t>カイキュウ</t>
    </rPh>
    <rPh sb="9" eb="12">
      <t>ダンジョベツ</t>
    </rPh>
    <rPh sb="12" eb="1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</si>
</sst>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-* #,##0_-;\-* #,##0_-;_-* &quot;-&quot;_-;_-@_-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/>
    </xf>
    <xf numFmtId="177" fontId="11" fillId="0" borderId="0" applyFont="0" applyFill="0" applyBorder="0" applyAlignment="0" applyProtection="0"/>
    <xf numFmtId="0" fontId="10" fillId="0" borderId="0"/>
    <xf numFmtId="0" fontId="1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9"/>
    <xf numFmtId="38" fontId="4" fillId="0" borderId="3" xfId="10" applyFont="1" applyFill="1" applyBorder="1" applyAlignment="1">
      <alignment shrinkToFit="1"/>
    </xf>
    <xf numFmtId="176" fontId="4" fillId="0" borderId="0" xfId="9" applyNumberFormat="1" applyFont="1" applyAlignment="1">
      <alignment shrinkToFit="1"/>
    </xf>
    <xf numFmtId="176" fontId="4" fillId="0" borderId="11" xfId="10" applyNumberFormat="1" applyFont="1" applyFill="1" applyBorder="1" applyAlignment="1">
      <alignment shrinkToFit="1"/>
    </xf>
    <xf numFmtId="176" fontId="4" fillId="0" borderId="10" xfId="10" applyNumberFormat="1" applyFont="1" applyFill="1" applyBorder="1" applyAlignment="1">
      <alignment shrinkToFit="1"/>
    </xf>
    <xf numFmtId="176" fontId="4" fillId="0" borderId="7" xfId="10" applyNumberFormat="1" applyFont="1" applyBorder="1"/>
    <xf numFmtId="176" fontId="4" fillId="0" borderId="2" xfId="10" applyNumberFormat="1" applyFont="1" applyBorder="1"/>
    <xf numFmtId="0" fontId="1" fillId="0" borderId="28" xfId="9" applyBorder="1"/>
    <xf numFmtId="176" fontId="4" fillId="0" borderId="4" xfId="10" applyNumberFormat="1" applyFont="1" applyFill="1" applyBorder="1" applyAlignment="1">
      <alignment shrinkToFit="1"/>
    </xf>
    <xf numFmtId="176" fontId="4" fillId="0" borderId="3" xfId="10" applyNumberFormat="1" applyFont="1" applyFill="1" applyBorder="1" applyAlignment="1">
      <alignment shrinkToFit="1"/>
    </xf>
    <xf numFmtId="176" fontId="4" fillId="0" borderId="2" xfId="10" applyNumberFormat="1" applyFont="1" applyFill="1" applyBorder="1" applyAlignment="1">
      <alignment shrinkToFit="1"/>
    </xf>
    <xf numFmtId="0" fontId="4" fillId="0" borderId="28" xfId="9" applyFont="1" applyBorder="1" applyAlignment="1">
      <alignment wrapText="1"/>
    </xf>
    <xf numFmtId="176" fontId="5" fillId="0" borderId="0" xfId="9" applyNumberFormat="1" applyFont="1" applyAlignment="1">
      <alignment shrinkToFit="1"/>
    </xf>
    <xf numFmtId="176" fontId="5" fillId="0" borderId="4" xfId="10" applyNumberFormat="1" applyFont="1" applyFill="1" applyBorder="1" applyAlignment="1">
      <alignment shrinkToFit="1"/>
    </xf>
    <xf numFmtId="176" fontId="5" fillId="0" borderId="3" xfId="10" applyNumberFormat="1" applyFont="1" applyFill="1" applyBorder="1" applyAlignment="1">
      <alignment shrinkToFit="1"/>
    </xf>
    <xf numFmtId="176" fontId="5" fillId="0" borderId="2" xfId="10" applyNumberFormat="1" applyFont="1" applyFill="1" applyBorder="1" applyAlignment="1">
      <alignment shrinkToFit="1"/>
    </xf>
    <xf numFmtId="176" fontId="4" fillId="0" borderId="0" xfId="9" applyNumberFormat="1" applyFont="1" applyAlignment="1">
      <alignment horizontal="center" shrinkToFit="1"/>
    </xf>
    <xf numFmtId="176" fontId="4" fillId="0" borderId="14" xfId="9" applyNumberFormat="1" applyFont="1" applyBorder="1" applyAlignment="1">
      <alignment horizontal="center" shrinkToFit="1"/>
    </xf>
    <xf numFmtId="176" fontId="4" fillId="0" borderId="13" xfId="9" applyNumberFormat="1" applyFont="1" applyBorder="1" applyAlignment="1">
      <alignment horizontal="center" shrinkToFit="1"/>
    </xf>
    <xf numFmtId="176" fontId="4" fillId="0" borderId="24" xfId="9" applyNumberFormat="1" applyFont="1" applyBorder="1" applyAlignment="1">
      <alignment horizontal="center" shrinkToFit="1"/>
    </xf>
    <xf numFmtId="176" fontId="4" fillId="0" borderId="22" xfId="9" applyNumberFormat="1" applyFont="1" applyBorder="1" applyAlignment="1">
      <alignment horizontal="center" shrinkToFit="1"/>
    </xf>
    <xf numFmtId="0" fontId="1" fillId="0" borderId="33" xfId="9" applyBorder="1"/>
    <xf numFmtId="176" fontId="4" fillId="0" borderId="26" xfId="9" applyNumberFormat="1" applyFont="1" applyBorder="1" applyAlignment="1">
      <alignment shrinkToFit="1"/>
    </xf>
    <xf numFmtId="0" fontId="1" fillId="0" borderId="26" xfId="9" applyBorder="1"/>
    <xf numFmtId="176" fontId="4" fillId="0" borderId="15" xfId="10" applyNumberFormat="1" applyFont="1" applyFill="1" applyBorder="1" applyAlignment="1">
      <alignment shrinkToFit="1"/>
    </xf>
    <xf numFmtId="176" fontId="4" fillId="0" borderId="20" xfId="9" applyNumberFormat="1" applyFont="1" applyBorder="1" applyAlignment="1">
      <alignment horizontal="center" shrinkToFit="1"/>
    </xf>
    <xf numFmtId="176" fontId="4" fillId="0" borderId="25" xfId="9" applyNumberFormat="1" applyFont="1" applyBorder="1" applyAlignment="1">
      <alignment horizontal="center" shrinkToFit="1"/>
    </xf>
    <xf numFmtId="176" fontId="4" fillId="0" borderId="1" xfId="9" applyNumberFormat="1" applyFont="1" applyBorder="1" applyAlignment="1">
      <alignment shrinkToFit="1"/>
    </xf>
    <xf numFmtId="0" fontId="1" fillId="0" borderId="1" xfId="9" applyBorder="1"/>
    <xf numFmtId="0" fontId="3" fillId="0" borderId="0" xfId="9" applyFont="1"/>
    <xf numFmtId="176" fontId="4" fillId="0" borderId="23" xfId="9" applyNumberFormat="1" applyFont="1" applyBorder="1" applyAlignment="1">
      <alignment shrinkToFit="1"/>
    </xf>
    <xf numFmtId="0" fontId="1" fillId="0" borderId="23" xfId="9" applyBorder="1"/>
    <xf numFmtId="0" fontId="4" fillId="0" borderId="14" xfId="9" applyFont="1" applyBorder="1" applyAlignment="1">
      <alignment horizontal="center"/>
    </xf>
    <xf numFmtId="0" fontId="4" fillId="0" borderId="13" xfId="9" applyFont="1" applyBorder="1" applyAlignment="1">
      <alignment horizontal="center"/>
    </xf>
    <xf numFmtId="0" fontId="4" fillId="0" borderId="20" xfId="9" applyFont="1" applyBorder="1" applyAlignment="1">
      <alignment horizontal="center"/>
    </xf>
    <xf numFmtId="0" fontId="4" fillId="0" borderId="25" xfId="9" applyFont="1" applyBorder="1" applyAlignment="1">
      <alignment horizontal="center"/>
    </xf>
    <xf numFmtId="0" fontId="4" fillId="0" borderId="24" xfId="9" applyFont="1" applyBorder="1" applyAlignment="1">
      <alignment horizontal="center"/>
    </xf>
    <xf numFmtId="0" fontId="4" fillId="0" borderId="22" xfId="9" applyFont="1" applyBorder="1" applyAlignment="1">
      <alignment horizontal="center"/>
    </xf>
    <xf numFmtId="176" fontId="5" fillId="0" borderId="15" xfId="10" applyNumberFormat="1" applyFont="1" applyFill="1" applyBorder="1" applyAlignment="1">
      <alignment shrinkToFit="1"/>
    </xf>
    <xf numFmtId="176" fontId="5" fillId="0" borderId="17" xfId="10" applyNumberFormat="1" applyFont="1" applyFill="1" applyBorder="1" applyAlignment="1">
      <alignment shrinkToFit="1"/>
    </xf>
    <xf numFmtId="176" fontId="5" fillId="0" borderId="5" xfId="10" applyNumberFormat="1" applyFont="1" applyFill="1" applyBorder="1" applyAlignment="1">
      <alignment shrinkToFit="1"/>
    </xf>
    <xf numFmtId="176" fontId="5" fillId="0" borderId="18" xfId="10" applyNumberFormat="1" applyFont="1" applyFill="1" applyBorder="1" applyAlignment="1">
      <alignment shrinkToFit="1"/>
    </xf>
    <xf numFmtId="176" fontId="4" fillId="0" borderId="12" xfId="10" applyNumberFormat="1" applyFont="1" applyFill="1" applyBorder="1" applyAlignment="1">
      <alignment shrinkToFit="1"/>
    </xf>
    <xf numFmtId="176" fontId="4" fillId="0" borderId="16" xfId="10" applyNumberFormat="1" applyFont="1" applyFill="1" applyBorder="1" applyAlignment="1">
      <alignment shrinkToFit="1"/>
    </xf>
    <xf numFmtId="176" fontId="5" fillId="0" borderId="27" xfId="10" applyNumberFormat="1" applyFont="1" applyFill="1" applyBorder="1" applyAlignment="1">
      <alignment shrinkToFit="1"/>
    </xf>
    <xf numFmtId="176" fontId="5" fillId="0" borderId="8" xfId="10" applyNumberFormat="1" applyFont="1" applyFill="1" applyBorder="1" applyAlignment="1">
      <alignment shrinkToFit="1"/>
    </xf>
    <xf numFmtId="176" fontId="4" fillId="0" borderId="7" xfId="10" applyNumberFormat="1" applyFont="1" applyFill="1" applyBorder="1" applyAlignment="1">
      <alignment shrinkToFit="1"/>
    </xf>
    <xf numFmtId="176" fontId="4" fillId="0" borderId="6" xfId="10" applyNumberFormat="1" applyFont="1" applyFill="1" applyBorder="1" applyAlignment="1">
      <alignment shrinkToFit="1"/>
    </xf>
    <xf numFmtId="176" fontId="4" fillId="0" borderId="7" xfId="10" applyNumberFormat="1" applyFont="1" applyFill="1" applyBorder="1"/>
    <xf numFmtId="176" fontId="4" fillId="0" borderId="2" xfId="10" applyNumberFormat="1" applyFont="1" applyFill="1" applyBorder="1"/>
    <xf numFmtId="176" fontId="5" fillId="0" borderId="19" xfId="10" applyNumberFormat="1" applyFont="1" applyFill="1" applyBorder="1" applyAlignment="1">
      <alignment shrinkToFit="1"/>
    </xf>
    <xf numFmtId="0" fontId="0" fillId="0" borderId="28" xfId="9" applyFont="1" applyBorder="1" applyAlignment="1">
      <alignment horizontal="center"/>
    </xf>
    <xf numFmtId="0" fontId="4" fillId="0" borderId="28" xfId="9" applyFont="1" applyBorder="1" applyAlignment="1">
      <alignment horizontal="center" wrapText="1"/>
    </xf>
    <xf numFmtId="0" fontId="0" fillId="0" borderId="29" xfId="9" applyFont="1" applyBorder="1" applyAlignment="1">
      <alignment horizontal="center"/>
    </xf>
    <xf numFmtId="0" fontId="0" fillId="0" borderId="32" xfId="9" applyFont="1" applyBorder="1" applyAlignment="1">
      <alignment horizontal="center"/>
    </xf>
    <xf numFmtId="0" fontId="0" fillId="0" borderId="1" xfId="9" applyFont="1" applyBorder="1"/>
    <xf numFmtId="0" fontId="1" fillId="0" borderId="1" xfId="9" applyBorder="1"/>
    <xf numFmtId="0" fontId="4" fillId="0" borderId="30" xfId="9" applyFont="1" applyBorder="1" applyAlignment="1">
      <alignment horizontal="center"/>
    </xf>
    <xf numFmtId="0" fontId="4" fillId="0" borderId="9" xfId="9" applyFont="1" applyBorder="1" applyAlignment="1">
      <alignment horizontal="center"/>
    </xf>
    <xf numFmtId="0" fontId="4" fillId="0" borderId="34" xfId="9" applyFont="1" applyBorder="1" applyAlignment="1">
      <alignment horizontal="center"/>
    </xf>
    <xf numFmtId="0" fontId="4" fillId="0" borderId="37" xfId="9" applyFont="1" applyBorder="1" applyAlignment="1">
      <alignment horizontal="center"/>
    </xf>
    <xf numFmtId="0" fontId="4" fillId="0" borderId="31" xfId="9" applyFont="1" applyBorder="1" applyAlignment="1">
      <alignment horizontal="center"/>
    </xf>
    <xf numFmtId="0" fontId="4" fillId="0" borderId="36" xfId="9" applyFont="1" applyBorder="1" applyAlignment="1">
      <alignment horizontal="center"/>
    </xf>
    <xf numFmtId="176" fontId="4" fillId="0" borderId="21" xfId="9" applyNumberFormat="1" applyFont="1" applyBorder="1" applyAlignment="1">
      <alignment horizontal="center" shrinkToFit="1"/>
    </xf>
    <xf numFmtId="176" fontId="4" fillId="0" borderId="35" xfId="9" applyNumberFormat="1" applyFont="1" applyBorder="1" applyAlignment="1">
      <alignment horizontal="center" shrinkToFit="1"/>
    </xf>
    <xf numFmtId="176" fontId="4" fillId="0" borderId="0" xfId="9" applyNumberFormat="1" applyFont="1" applyAlignment="1">
      <alignment horizontal="center" shrinkToFit="1"/>
    </xf>
    <xf numFmtId="176" fontId="4" fillId="0" borderId="30" xfId="9" applyNumberFormat="1" applyFont="1" applyBorder="1" applyAlignment="1">
      <alignment horizontal="center" shrinkToFit="1"/>
    </xf>
    <xf numFmtId="176" fontId="4" fillId="0" borderId="9" xfId="9" applyNumberFormat="1" applyFont="1" applyBorder="1" applyAlignment="1">
      <alignment horizontal="center" shrinkToFit="1"/>
    </xf>
    <xf numFmtId="176" fontId="4" fillId="0" borderId="34" xfId="9" applyNumberFormat="1" applyFont="1" applyBorder="1" applyAlignment="1">
      <alignment horizontal="center" shrinkToFit="1"/>
    </xf>
    <xf numFmtId="176" fontId="4" fillId="0" borderId="37" xfId="9" applyNumberFormat="1" applyFont="1" applyBorder="1" applyAlignment="1">
      <alignment horizontal="center" shrinkToFit="1"/>
    </xf>
    <xf numFmtId="176" fontId="4" fillId="0" borderId="31" xfId="9" applyNumberFormat="1" applyFont="1" applyBorder="1" applyAlignment="1">
      <alignment horizontal="center" shrinkToFit="1"/>
    </xf>
    <xf numFmtId="176" fontId="4" fillId="0" borderId="36" xfId="9" applyNumberFormat="1" applyFont="1" applyBorder="1" applyAlignment="1">
      <alignment horizontal="center" shrinkToFit="1"/>
    </xf>
    <xf numFmtId="176" fontId="4" fillId="0" borderId="38" xfId="10" applyNumberFormat="1" applyFont="1" applyFill="1" applyBorder="1" applyAlignment="1">
      <alignment shrinkToFit="1"/>
    </xf>
    <xf numFmtId="176" fontId="4" fillId="0" borderId="0" xfId="9" applyNumberFormat="1" applyFont="1" applyBorder="1" applyAlignment="1">
      <alignment shrinkToFit="1"/>
    </xf>
  </cellXfs>
  <cellStyles count="11">
    <cellStyle name="パーセント 2" xfId="1" xr:uid="{00000000-0005-0000-0000-000001000000}"/>
    <cellStyle name="桁区切り 2" xfId="2" xr:uid="{00000000-0005-0000-0000-000004000000}"/>
    <cellStyle name="桁区切り 2 2" xfId="10" xr:uid="{00000000-0005-0000-0000-000005000000}"/>
    <cellStyle name="桁区切り 3" xfId="3" xr:uid="{00000000-0005-0000-0000-000006000000}"/>
    <cellStyle name="桁区切り 4" xfId="7" xr:uid="{00000000-0005-0000-0000-000007000000}"/>
    <cellStyle name="標準" xfId="0" builtinId="0"/>
    <cellStyle name="標準 2" xfId="4" xr:uid="{00000000-0005-0000-0000-000009000000}"/>
    <cellStyle name="標準 2 2" xfId="9" xr:uid="{00000000-0005-0000-0000-00000A000000}"/>
    <cellStyle name="標準 3" xfId="5" xr:uid="{00000000-0005-0000-0000-00000B000000}"/>
    <cellStyle name="標準 4" xfId="6" xr:uid="{00000000-0005-0000-0000-00000C000000}"/>
    <cellStyle name="標準 5" xfId="8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M112"/>
  <sheetViews>
    <sheetView tabSelected="1" view="pageBreakPreview" zoomScale="120" zoomScaleNormal="100" zoomScaleSheetLayoutView="120" workbookViewId="0">
      <pane xSplit="1" topLeftCell="B1" activePane="topRight" state="frozen"/>
      <selection activeCell="G9" sqref="G9"/>
      <selection pane="topRight" activeCell="N12" sqref="N12"/>
    </sheetView>
  </sheetViews>
  <sheetFormatPr defaultColWidth="9" defaultRowHeight="13" x14ac:dyDescent="0.2"/>
  <cols>
    <col min="1" max="1" width="12.36328125" style="1" customWidth="1"/>
    <col min="2" max="4" width="6.6328125" style="1" customWidth="1"/>
    <col min="5" max="6" width="7" style="1" customWidth="1"/>
    <col min="7" max="7" width="6.90625" style="1" customWidth="1"/>
    <col min="8" max="8" width="6.6328125" style="1" customWidth="1"/>
    <col min="9" max="10" width="6.90625" style="1" customWidth="1"/>
    <col min="11" max="13" width="6.6328125" style="1" customWidth="1"/>
    <col min="14" max="16384" width="9" style="1"/>
  </cols>
  <sheetData>
    <row r="1" spans="1:13" ht="19" x14ac:dyDescent="0.3">
      <c r="A1" s="30" t="s">
        <v>11</v>
      </c>
      <c r="H1" s="1" t="s">
        <v>17</v>
      </c>
    </row>
    <row r="2" spans="1:13" ht="13.5" thickBot="1" x14ac:dyDescent="0.25">
      <c r="H2" s="56" t="s">
        <v>43</v>
      </c>
      <c r="I2" s="57"/>
      <c r="J2" s="57"/>
      <c r="K2" s="57"/>
      <c r="L2" s="57"/>
      <c r="M2" s="57"/>
    </row>
    <row r="3" spans="1:13" x14ac:dyDescent="0.2">
      <c r="A3" s="55" t="s">
        <v>38</v>
      </c>
      <c r="B3" s="58" t="s">
        <v>35</v>
      </c>
      <c r="C3" s="59"/>
      <c r="D3" s="60"/>
      <c r="E3" s="61" t="s">
        <v>15</v>
      </c>
      <c r="F3" s="59"/>
      <c r="G3" s="62"/>
      <c r="H3" s="58" t="s">
        <v>36</v>
      </c>
      <c r="I3" s="59"/>
      <c r="J3" s="60"/>
      <c r="K3" s="58" t="s">
        <v>37</v>
      </c>
      <c r="L3" s="59"/>
      <c r="M3" s="63"/>
    </row>
    <row r="4" spans="1:13" x14ac:dyDescent="0.2">
      <c r="A4" s="22" t="s">
        <v>5</v>
      </c>
      <c r="B4" s="37" t="s">
        <v>0</v>
      </c>
      <c r="C4" s="34" t="s">
        <v>1</v>
      </c>
      <c r="D4" s="36" t="s">
        <v>16</v>
      </c>
      <c r="E4" s="35" t="s">
        <v>0</v>
      </c>
      <c r="F4" s="34" t="s">
        <v>1</v>
      </c>
      <c r="G4" s="38" t="s">
        <v>16</v>
      </c>
      <c r="H4" s="37" t="s">
        <v>0</v>
      </c>
      <c r="I4" s="34" t="s">
        <v>1</v>
      </c>
      <c r="J4" s="36" t="s">
        <v>16</v>
      </c>
      <c r="K4" s="37" t="s">
        <v>0</v>
      </c>
      <c r="L4" s="34" t="s">
        <v>1</v>
      </c>
      <c r="M4" s="33" t="s">
        <v>16</v>
      </c>
    </row>
    <row r="5" spans="1:13" x14ac:dyDescent="0.2">
      <c r="A5" s="52" t="s">
        <v>40</v>
      </c>
      <c r="B5" s="40">
        <f>SUM(B7,B12,B24)</f>
        <v>27532</v>
      </c>
      <c r="C5" s="41">
        <f t="shared" ref="C5:M5" si="0">SUM(C7,C12,C24)</f>
        <v>29391</v>
      </c>
      <c r="D5" s="42">
        <f t="shared" si="0"/>
        <v>56923</v>
      </c>
      <c r="E5" s="45">
        <f>SUM(E7,E12,E24)</f>
        <v>11350</v>
      </c>
      <c r="F5" s="41">
        <f t="shared" si="0"/>
        <v>12038</v>
      </c>
      <c r="G5" s="46">
        <f t="shared" si="0"/>
        <v>23388</v>
      </c>
      <c r="H5" s="40">
        <f>SUM(H7,H12,H24)</f>
        <v>6731</v>
      </c>
      <c r="I5" s="41">
        <f t="shared" si="0"/>
        <v>7646</v>
      </c>
      <c r="J5" s="42">
        <f t="shared" si="0"/>
        <v>14377</v>
      </c>
      <c r="K5" s="40">
        <f>SUM(K7,K12,K24)</f>
        <v>1084</v>
      </c>
      <c r="L5" s="41">
        <f t="shared" si="0"/>
        <v>1199</v>
      </c>
      <c r="M5" s="51">
        <f t="shared" si="0"/>
        <v>2283</v>
      </c>
    </row>
    <row r="6" spans="1:13" x14ac:dyDescent="0.2">
      <c r="A6" s="8"/>
      <c r="B6" s="11"/>
      <c r="C6" s="10"/>
      <c r="D6" s="25"/>
      <c r="E6" s="47"/>
      <c r="F6" s="10"/>
      <c r="G6" s="48"/>
      <c r="H6" s="11"/>
      <c r="I6" s="10"/>
      <c r="J6" s="25"/>
      <c r="K6" s="11"/>
      <c r="L6" s="10"/>
      <c r="M6" s="9"/>
    </row>
    <row r="7" spans="1:13" ht="24" x14ac:dyDescent="0.2">
      <c r="A7" s="12" t="s">
        <v>13</v>
      </c>
      <c r="B7" s="11">
        <f>SUM(B8:B10)</f>
        <v>3313</v>
      </c>
      <c r="C7" s="10">
        <f t="shared" ref="C7" si="1">SUM(C8:C10)</f>
        <v>3079</v>
      </c>
      <c r="D7" s="25">
        <f>SUM(D8:D10)</f>
        <v>6392</v>
      </c>
      <c r="E7" s="11">
        <f>SUM(E8:E10)</f>
        <v>1391</v>
      </c>
      <c r="F7" s="10">
        <f t="shared" ref="F7" si="2">SUM(F8:F10)</f>
        <v>1261</v>
      </c>
      <c r="G7" s="25">
        <f>SUM(G8:G10)</f>
        <v>2652</v>
      </c>
      <c r="H7" s="11">
        <f>SUM(H8:H10)</f>
        <v>633</v>
      </c>
      <c r="I7" s="10">
        <f t="shared" ref="I7" si="3">SUM(I8:I10)</f>
        <v>606</v>
      </c>
      <c r="J7" s="25">
        <f>SUM(J8:J10)</f>
        <v>1239</v>
      </c>
      <c r="K7" s="11">
        <f>SUM(K8:K10)</f>
        <v>136</v>
      </c>
      <c r="L7" s="10">
        <f t="shared" ref="L7" si="4">SUM(L8:L10)</f>
        <v>150</v>
      </c>
      <c r="M7" s="9">
        <f>SUM(M8:M10)</f>
        <v>286</v>
      </c>
    </row>
    <row r="8" spans="1:13" x14ac:dyDescent="0.2">
      <c r="A8" s="52" t="s">
        <v>20</v>
      </c>
      <c r="B8" s="11">
        <f>E8+H8+K8+B35+E35+H35+K35+B64+E64+H64+K64+B91+E91</f>
        <v>868</v>
      </c>
      <c r="C8" s="10">
        <f>F8+I8+L8+C35+F35+I35+L35+C64+F64+I64+L64+C91+F91</f>
        <v>765</v>
      </c>
      <c r="D8" s="25">
        <f>SUM(B8:C8)</f>
        <v>1633</v>
      </c>
      <c r="E8" s="49">
        <v>394</v>
      </c>
      <c r="F8" s="49">
        <v>318</v>
      </c>
      <c r="G8" s="25">
        <f>SUM(E8:F8)</f>
        <v>712</v>
      </c>
      <c r="H8" s="50">
        <f>9+101+51</f>
        <v>161</v>
      </c>
      <c r="I8" s="49">
        <f>11+109+49</f>
        <v>169</v>
      </c>
      <c r="J8" s="25">
        <f>SUM(H8:I8)</f>
        <v>330</v>
      </c>
      <c r="K8" s="50">
        <f>31+3</f>
        <v>34</v>
      </c>
      <c r="L8" s="49">
        <f>36+4</f>
        <v>40</v>
      </c>
      <c r="M8" s="9">
        <f>SUM(K8:L8)</f>
        <v>74</v>
      </c>
    </row>
    <row r="9" spans="1:13" x14ac:dyDescent="0.2">
      <c r="A9" s="52" t="s">
        <v>19</v>
      </c>
      <c r="B9" s="11">
        <f t="shared" ref="B9:C10" si="5">E9+H9+K9+B36+E36+H36+K36+B65+E65+H65+K65+B92+E92</f>
        <v>1198</v>
      </c>
      <c r="C9" s="10">
        <f t="shared" si="5"/>
        <v>1070</v>
      </c>
      <c r="D9" s="25">
        <f t="shared" ref="D9:D10" si="6">SUM(B9:C9)</f>
        <v>2268</v>
      </c>
      <c r="E9" s="49">
        <v>522</v>
      </c>
      <c r="F9" s="49">
        <v>457</v>
      </c>
      <c r="G9" s="25">
        <f t="shared" ref="G9:G10" si="7">SUM(E9:F9)</f>
        <v>979</v>
      </c>
      <c r="H9" s="50">
        <f>23+160+52</f>
        <v>235</v>
      </c>
      <c r="I9" s="49">
        <f>21+133+50</f>
        <v>204</v>
      </c>
      <c r="J9" s="25">
        <f t="shared" ref="J9:J10" si="8">SUM(H9:I9)</f>
        <v>439</v>
      </c>
      <c r="K9" s="50">
        <f>44+5</f>
        <v>49</v>
      </c>
      <c r="L9" s="49">
        <f>46+4</f>
        <v>50</v>
      </c>
      <c r="M9" s="9">
        <f t="shared" ref="M9:M10" si="9">SUM(K9:L9)</f>
        <v>99</v>
      </c>
    </row>
    <row r="10" spans="1:13" x14ac:dyDescent="0.2">
      <c r="A10" s="52" t="s">
        <v>21</v>
      </c>
      <c r="B10" s="11">
        <f t="shared" si="5"/>
        <v>1247</v>
      </c>
      <c r="C10" s="10">
        <f t="shared" si="5"/>
        <v>1244</v>
      </c>
      <c r="D10" s="25">
        <f t="shared" si="6"/>
        <v>2491</v>
      </c>
      <c r="E10" s="49">
        <v>475</v>
      </c>
      <c r="F10" s="49">
        <v>486</v>
      </c>
      <c r="G10" s="25">
        <f t="shared" si="7"/>
        <v>961</v>
      </c>
      <c r="H10" s="50">
        <f>18+168+51</f>
        <v>237</v>
      </c>
      <c r="I10" s="49">
        <f>23+156+54</f>
        <v>233</v>
      </c>
      <c r="J10" s="25">
        <f t="shared" si="8"/>
        <v>470</v>
      </c>
      <c r="K10" s="50">
        <f>46+7</f>
        <v>53</v>
      </c>
      <c r="L10" s="49">
        <f>52+8</f>
        <v>60</v>
      </c>
      <c r="M10" s="9">
        <f t="shared" si="9"/>
        <v>113</v>
      </c>
    </row>
    <row r="11" spans="1:13" x14ac:dyDescent="0.2">
      <c r="A11" s="8"/>
      <c r="B11" s="11"/>
      <c r="C11" s="10"/>
      <c r="D11" s="25"/>
      <c r="E11" s="47"/>
      <c r="F11" s="10"/>
      <c r="G11" s="25"/>
      <c r="H11" s="11"/>
      <c r="I11" s="10"/>
      <c r="J11" s="25"/>
      <c r="K11" s="11"/>
      <c r="L11" s="10"/>
      <c r="M11" s="9"/>
    </row>
    <row r="12" spans="1:13" ht="24" x14ac:dyDescent="0.2">
      <c r="A12" s="53" t="s">
        <v>3</v>
      </c>
      <c r="B12" s="11">
        <f>SUM(B13:B22)</f>
        <v>15757</v>
      </c>
      <c r="C12" s="10">
        <f>SUM(C13:C22)</f>
        <v>15368</v>
      </c>
      <c r="D12" s="25">
        <f t="shared" ref="D12" si="10">SUM(D13:D22)</f>
        <v>31125</v>
      </c>
      <c r="E12" s="47">
        <f>SUM(E13:E22)</f>
        <v>6333</v>
      </c>
      <c r="F12" s="10">
        <f t="shared" ref="F12:G12" si="11">SUM(F13:F22)</f>
        <v>6208</v>
      </c>
      <c r="G12" s="25">
        <f t="shared" si="11"/>
        <v>12541</v>
      </c>
      <c r="H12" s="11">
        <f>SUM(H13:H22)</f>
        <v>3421</v>
      </c>
      <c r="I12" s="10">
        <f t="shared" ref="I12:J12" si="12">SUM(I13:I22)</f>
        <v>3513</v>
      </c>
      <c r="J12" s="25">
        <f t="shared" si="12"/>
        <v>6934</v>
      </c>
      <c r="K12" s="11">
        <f>SUM(K13:K22)</f>
        <v>690</v>
      </c>
      <c r="L12" s="10">
        <f t="shared" ref="L12:M12" si="13">SUM(L13:L22)</f>
        <v>715</v>
      </c>
      <c r="M12" s="9">
        <f t="shared" si="13"/>
        <v>1405</v>
      </c>
    </row>
    <row r="13" spans="1:13" x14ac:dyDescent="0.2">
      <c r="A13" s="52" t="s">
        <v>22</v>
      </c>
      <c r="B13" s="11">
        <f>E13+H13+K13+B40+E40+H40+K40+B69+E69+H69+K69+B96+E96</f>
        <v>1383</v>
      </c>
      <c r="C13" s="10">
        <f>F13+I13+L13+C40+F40+I40+L40+C69+F69+I69+L69+C96+F96</f>
        <v>1316</v>
      </c>
      <c r="D13" s="25">
        <f>SUM(B13:C13)</f>
        <v>2699</v>
      </c>
      <c r="E13" s="49">
        <v>522</v>
      </c>
      <c r="F13" s="49">
        <v>500</v>
      </c>
      <c r="G13" s="25">
        <f>SUM(E13:F13)</f>
        <v>1022</v>
      </c>
      <c r="H13" s="50">
        <f>27+178+79</f>
        <v>284</v>
      </c>
      <c r="I13" s="49">
        <f>24+207+56</f>
        <v>287</v>
      </c>
      <c r="J13" s="25">
        <f>SUM(H13:I13)</f>
        <v>571</v>
      </c>
      <c r="K13" s="50">
        <f>58+6</f>
        <v>64</v>
      </c>
      <c r="L13" s="49">
        <f>65+2</f>
        <v>67</v>
      </c>
      <c r="M13" s="9">
        <f>SUM(K13:L13)</f>
        <v>131</v>
      </c>
    </row>
    <row r="14" spans="1:13" x14ac:dyDescent="0.2">
      <c r="A14" s="52" t="s">
        <v>23</v>
      </c>
      <c r="B14" s="11">
        <f t="shared" ref="B14:C15" si="14">E14+H14+K14+B41+E41+H41+K41+B70+E70+H70+K70+B97+E97</f>
        <v>1196</v>
      </c>
      <c r="C14" s="10">
        <f t="shared" si="14"/>
        <v>1287</v>
      </c>
      <c r="D14" s="25">
        <f t="shared" ref="D14:D15" si="15">SUM(B14:C14)</f>
        <v>2483</v>
      </c>
      <c r="E14" s="49">
        <v>436</v>
      </c>
      <c r="F14" s="49">
        <v>468</v>
      </c>
      <c r="G14" s="25">
        <f t="shared" ref="G14:G15" si="16">SUM(E14:F14)</f>
        <v>904</v>
      </c>
      <c r="H14" s="50">
        <f>28+199+58</f>
        <v>285</v>
      </c>
      <c r="I14" s="49">
        <f>21+248+47</f>
        <v>316</v>
      </c>
      <c r="J14" s="25">
        <f t="shared" ref="J14:J15" si="17">SUM(H14:I14)</f>
        <v>601</v>
      </c>
      <c r="K14" s="50">
        <f>52+5</f>
        <v>57</v>
      </c>
      <c r="L14" s="49">
        <f>76+3</f>
        <v>79</v>
      </c>
      <c r="M14" s="9">
        <f t="shared" ref="M14:M15" si="18">SUM(K14:L14)</f>
        <v>136</v>
      </c>
    </row>
    <row r="15" spans="1:13" x14ac:dyDescent="0.2">
      <c r="A15" s="52" t="s">
        <v>24</v>
      </c>
      <c r="B15" s="11">
        <f t="shared" si="14"/>
        <v>933</v>
      </c>
      <c r="C15" s="10">
        <f t="shared" si="14"/>
        <v>932</v>
      </c>
      <c r="D15" s="25">
        <f t="shared" si="15"/>
        <v>1865</v>
      </c>
      <c r="E15" s="49">
        <v>384</v>
      </c>
      <c r="F15" s="49">
        <v>396</v>
      </c>
      <c r="G15" s="25">
        <f t="shared" si="16"/>
        <v>780</v>
      </c>
      <c r="H15" s="50">
        <f>17+143+69</f>
        <v>229</v>
      </c>
      <c r="I15" s="49">
        <f>8+186+57</f>
        <v>251</v>
      </c>
      <c r="J15" s="25">
        <f t="shared" si="17"/>
        <v>480</v>
      </c>
      <c r="K15" s="50">
        <f>43+6</f>
        <v>49</v>
      </c>
      <c r="L15" s="49">
        <f>44+1</f>
        <v>45</v>
      </c>
      <c r="M15" s="9">
        <f t="shared" si="18"/>
        <v>94</v>
      </c>
    </row>
    <row r="16" spans="1:13" x14ac:dyDescent="0.2">
      <c r="A16" s="52" t="s">
        <v>25</v>
      </c>
      <c r="B16" s="11">
        <f>E16+H16+K16+B43+E43+H43+K43+B72+E72+H72+K72+B99+E99</f>
        <v>1164</v>
      </c>
      <c r="C16" s="10">
        <f>F16+I16+L16+C43+F43+I43+L43+C72+F72+I72+L72+C99+F99</f>
        <v>1198</v>
      </c>
      <c r="D16" s="25">
        <f>SUM(B16:C16)</f>
        <v>2362</v>
      </c>
      <c r="E16" s="49">
        <v>528</v>
      </c>
      <c r="F16" s="49">
        <v>510</v>
      </c>
      <c r="G16" s="25">
        <f>SUM(E16:F16)</f>
        <v>1038</v>
      </c>
      <c r="H16" s="50">
        <f>23+167+75</f>
        <v>265</v>
      </c>
      <c r="I16" s="49">
        <f>25+205+73</f>
        <v>303</v>
      </c>
      <c r="J16" s="25">
        <f>SUM(H16:I16)</f>
        <v>568</v>
      </c>
      <c r="K16" s="50">
        <f>49+8</f>
        <v>57</v>
      </c>
      <c r="L16" s="49">
        <f>65+7</f>
        <v>72</v>
      </c>
      <c r="M16" s="9">
        <f>SUM(K16:L16)</f>
        <v>129</v>
      </c>
    </row>
    <row r="17" spans="1:13" x14ac:dyDescent="0.2">
      <c r="A17" s="52" t="s">
        <v>26</v>
      </c>
      <c r="B17" s="11">
        <f t="shared" ref="B17:C18" si="19">E17+H17+K17+B44+E44+H44+K44+B73+E73+H73+K73+B100+E100</f>
        <v>1412</v>
      </c>
      <c r="C17" s="10">
        <f t="shared" si="19"/>
        <v>1358</v>
      </c>
      <c r="D17" s="25">
        <f t="shared" ref="D17:D18" si="20">SUM(B17:C17)</f>
        <v>2770</v>
      </c>
      <c r="E17" s="49">
        <v>637</v>
      </c>
      <c r="F17" s="49">
        <v>616</v>
      </c>
      <c r="G17" s="25">
        <f t="shared" ref="G17:G18" si="21">SUM(E17:F17)</f>
        <v>1253</v>
      </c>
      <c r="H17" s="50">
        <f>15+219+90</f>
        <v>324</v>
      </c>
      <c r="I17" s="49">
        <f>28+185+62</f>
        <v>275</v>
      </c>
      <c r="J17" s="25">
        <f t="shared" ref="J17:J18" si="22">SUM(H17:I17)</f>
        <v>599</v>
      </c>
      <c r="K17" s="50">
        <f>49+12</f>
        <v>61</v>
      </c>
      <c r="L17" s="49">
        <f>54+8</f>
        <v>62</v>
      </c>
      <c r="M17" s="9">
        <f t="shared" ref="M17:M18" si="23">SUM(K17:L17)</f>
        <v>123</v>
      </c>
    </row>
    <row r="18" spans="1:13" x14ac:dyDescent="0.2">
      <c r="A18" s="52" t="s">
        <v>27</v>
      </c>
      <c r="B18" s="11">
        <f t="shared" si="19"/>
        <v>1704</v>
      </c>
      <c r="C18" s="10">
        <f t="shared" si="19"/>
        <v>1642</v>
      </c>
      <c r="D18" s="25">
        <f t="shared" si="20"/>
        <v>3346</v>
      </c>
      <c r="E18" s="49">
        <v>727</v>
      </c>
      <c r="F18" s="49">
        <v>680</v>
      </c>
      <c r="G18" s="25">
        <f t="shared" si="21"/>
        <v>1407</v>
      </c>
      <c r="H18" s="50">
        <f>38+254+73</f>
        <v>365</v>
      </c>
      <c r="I18" s="49">
        <f>41+255+72</f>
        <v>368</v>
      </c>
      <c r="J18" s="25">
        <f t="shared" si="22"/>
        <v>733</v>
      </c>
      <c r="K18" s="50">
        <f>67+7</f>
        <v>74</v>
      </c>
      <c r="L18" s="49">
        <f>61+7</f>
        <v>68</v>
      </c>
      <c r="M18" s="9">
        <f t="shared" si="23"/>
        <v>142</v>
      </c>
    </row>
    <row r="19" spans="1:13" x14ac:dyDescent="0.2">
      <c r="A19" s="52" t="s">
        <v>28</v>
      </c>
      <c r="B19" s="11">
        <f>E19+H19+K19+B46+E46+H46+K46+B75+E75+H75+K75+B102+E102</f>
        <v>2099</v>
      </c>
      <c r="C19" s="10">
        <f>F19+I19+L19+C46+F46+I46+L46+C75+F75+I75+L75+C102+F102</f>
        <v>2026</v>
      </c>
      <c r="D19" s="25">
        <f>SUM(B19:C19)</f>
        <v>4125</v>
      </c>
      <c r="E19" s="49">
        <v>836</v>
      </c>
      <c r="F19" s="49">
        <v>785</v>
      </c>
      <c r="G19" s="25">
        <f>SUM(E19:F19)</f>
        <v>1621</v>
      </c>
      <c r="H19" s="50">
        <f>52+350+67</f>
        <v>469</v>
      </c>
      <c r="I19" s="49">
        <f>36+357+80</f>
        <v>473</v>
      </c>
      <c r="J19" s="25">
        <f>SUM(H19:I19)</f>
        <v>942</v>
      </c>
      <c r="K19" s="50">
        <f>85+11</f>
        <v>96</v>
      </c>
      <c r="L19" s="49">
        <f>83+12</f>
        <v>95</v>
      </c>
      <c r="M19" s="9">
        <f>SUM(K19:L19)</f>
        <v>191</v>
      </c>
    </row>
    <row r="20" spans="1:13" x14ac:dyDescent="0.2">
      <c r="A20" s="52" t="s">
        <v>29</v>
      </c>
      <c r="B20" s="11">
        <f t="shared" ref="B20:C21" si="24">E20+H20+K20+B47+E47+H47+K47+B76+E76+H76+K76+B103+E103</f>
        <v>2307</v>
      </c>
      <c r="C20" s="10">
        <f t="shared" si="24"/>
        <v>2161</v>
      </c>
      <c r="D20" s="25">
        <f>SUM(B20:C20)</f>
        <v>4468</v>
      </c>
      <c r="E20" s="49">
        <v>875</v>
      </c>
      <c r="F20" s="49">
        <v>832</v>
      </c>
      <c r="G20" s="25">
        <f>SUM(E20:F20)</f>
        <v>1707</v>
      </c>
      <c r="H20" s="50">
        <f>44+359+96</f>
        <v>499</v>
      </c>
      <c r="I20" s="49">
        <f>47+362+85</f>
        <v>494</v>
      </c>
      <c r="J20" s="25">
        <f>SUM(H20:I20)</f>
        <v>993</v>
      </c>
      <c r="K20" s="50">
        <f>80+17</f>
        <v>97</v>
      </c>
      <c r="L20" s="49">
        <f>76+11</f>
        <v>87</v>
      </c>
      <c r="M20" s="9">
        <f>SUM(K20:L20)</f>
        <v>184</v>
      </c>
    </row>
    <row r="21" spans="1:13" x14ac:dyDescent="0.2">
      <c r="A21" s="52" t="s">
        <v>30</v>
      </c>
      <c r="B21" s="11">
        <f t="shared" si="24"/>
        <v>1885</v>
      </c>
      <c r="C21" s="10">
        <f t="shared" si="24"/>
        <v>1765</v>
      </c>
      <c r="D21" s="25">
        <f t="shared" ref="D21:D22" si="25">SUM(B21:C21)</f>
        <v>3650</v>
      </c>
      <c r="E21" s="49">
        <v>732</v>
      </c>
      <c r="F21" s="49">
        <v>714</v>
      </c>
      <c r="G21" s="25">
        <f t="shared" ref="G21:G22" si="26">SUM(E21:F21)</f>
        <v>1446</v>
      </c>
      <c r="H21" s="50">
        <f>29+238+67</f>
        <v>334</v>
      </c>
      <c r="I21" s="49">
        <f>28+259+66</f>
        <v>353</v>
      </c>
      <c r="J21" s="25">
        <f t="shared" ref="J21:J22" si="27">SUM(H21:I21)</f>
        <v>687</v>
      </c>
      <c r="K21" s="50">
        <f>59+14</f>
        <v>73</v>
      </c>
      <c r="L21" s="49">
        <f>56+14</f>
        <v>70</v>
      </c>
      <c r="M21" s="9">
        <f t="shared" ref="M21:M22" si="28">SUM(K21:L21)</f>
        <v>143</v>
      </c>
    </row>
    <row r="22" spans="1:13" x14ac:dyDescent="0.2">
      <c r="A22" s="52" t="s">
        <v>31</v>
      </c>
      <c r="B22" s="11">
        <f>E22+H22+K22+B49+E49+H49+K49+B78+E78+H78+K78+B105+E105</f>
        <v>1674</v>
      </c>
      <c r="C22" s="10">
        <f>F22+I22+L22+C49+F49+I49+L49+C78+F78+I78+L78+C105+F105</f>
        <v>1683</v>
      </c>
      <c r="D22" s="25">
        <f t="shared" si="25"/>
        <v>3357</v>
      </c>
      <c r="E22" s="49">
        <v>656</v>
      </c>
      <c r="F22" s="49">
        <v>707</v>
      </c>
      <c r="G22" s="25">
        <f t="shared" si="26"/>
        <v>1363</v>
      </c>
      <c r="H22" s="50">
        <f>39+257+71</f>
        <v>367</v>
      </c>
      <c r="I22" s="49">
        <f>45+267+81</f>
        <v>393</v>
      </c>
      <c r="J22" s="25">
        <f t="shared" si="27"/>
        <v>760</v>
      </c>
      <c r="K22" s="50">
        <f>46+16</f>
        <v>62</v>
      </c>
      <c r="L22" s="49">
        <f>51+19</f>
        <v>70</v>
      </c>
      <c r="M22" s="9">
        <f t="shared" si="28"/>
        <v>132</v>
      </c>
    </row>
    <row r="23" spans="1:13" x14ac:dyDescent="0.2">
      <c r="A23" s="8"/>
      <c r="B23" s="11"/>
      <c r="C23" s="10"/>
      <c r="D23" s="25"/>
      <c r="E23" s="47"/>
      <c r="F23" s="10"/>
      <c r="G23" s="25"/>
      <c r="H23" s="11"/>
      <c r="I23" s="10"/>
      <c r="J23" s="25"/>
      <c r="K23" s="11"/>
      <c r="L23" s="10"/>
      <c r="M23" s="9"/>
    </row>
    <row r="24" spans="1:13" ht="24" x14ac:dyDescent="0.2">
      <c r="A24" s="12" t="s">
        <v>4</v>
      </c>
      <c r="B24" s="11">
        <f>SUM(B25:B28)</f>
        <v>8462</v>
      </c>
      <c r="C24" s="10">
        <f>SUM(C25:C28)</f>
        <v>10944</v>
      </c>
      <c r="D24" s="25">
        <f t="shared" ref="D24" si="29">SUM(D25:D28)</f>
        <v>19406</v>
      </c>
      <c r="E24" s="47">
        <f>SUM(E25:E28)</f>
        <v>3626</v>
      </c>
      <c r="F24" s="10">
        <f t="shared" ref="F24:G24" si="30">SUM(F25:F28)</f>
        <v>4569</v>
      </c>
      <c r="G24" s="25">
        <f t="shared" si="30"/>
        <v>8195</v>
      </c>
      <c r="H24" s="11">
        <f>SUM(H25:H28)</f>
        <v>2677</v>
      </c>
      <c r="I24" s="10">
        <f t="shared" ref="I24:J24" si="31">SUM(I25:I28)</f>
        <v>3527</v>
      </c>
      <c r="J24" s="25">
        <f t="shared" si="31"/>
        <v>6204</v>
      </c>
      <c r="K24" s="11">
        <f>SUM(K25:K28)</f>
        <v>258</v>
      </c>
      <c r="L24" s="10">
        <f t="shared" ref="L24:M24" si="32">SUM(L25:L28)</f>
        <v>334</v>
      </c>
      <c r="M24" s="9">
        <f t="shared" si="32"/>
        <v>592</v>
      </c>
    </row>
    <row r="25" spans="1:13" x14ac:dyDescent="0.2">
      <c r="A25" s="52" t="s">
        <v>32</v>
      </c>
      <c r="B25" s="11">
        <f t="shared" ref="B25:C26" si="33">E25+H25+K25+B52+E52+H52+K52+B81+E81+H81+K81+B108+E108</f>
        <v>1604</v>
      </c>
      <c r="C25" s="10">
        <f t="shared" si="33"/>
        <v>1807</v>
      </c>
      <c r="D25" s="25">
        <f>SUM(B25:C25)</f>
        <v>3411</v>
      </c>
      <c r="E25" s="49">
        <v>757</v>
      </c>
      <c r="F25" s="49">
        <v>874</v>
      </c>
      <c r="G25" s="25">
        <f>SUM(E25:F25)</f>
        <v>1631</v>
      </c>
      <c r="H25" s="50">
        <f>46+258+67</f>
        <v>371</v>
      </c>
      <c r="I25" s="49">
        <f>53+342+59</f>
        <v>454</v>
      </c>
      <c r="J25" s="25">
        <f>SUM(H25:I25)</f>
        <v>825</v>
      </c>
      <c r="K25" s="50">
        <f>36+19</f>
        <v>55</v>
      </c>
      <c r="L25" s="49">
        <f>40+23</f>
        <v>63</v>
      </c>
      <c r="M25" s="9">
        <f>SUM(K25:L25)</f>
        <v>118</v>
      </c>
    </row>
    <row r="26" spans="1:13" x14ac:dyDescent="0.2">
      <c r="A26" s="52" t="s">
        <v>33</v>
      </c>
      <c r="B26" s="11">
        <f t="shared" si="33"/>
        <v>2159</v>
      </c>
      <c r="C26" s="10">
        <f t="shared" si="33"/>
        <v>2443</v>
      </c>
      <c r="D26" s="25">
        <f t="shared" ref="D26:D28" si="34">SUM(B26:C26)</f>
        <v>4602</v>
      </c>
      <c r="E26" s="49">
        <v>1006</v>
      </c>
      <c r="F26" s="49">
        <v>1120</v>
      </c>
      <c r="G26" s="25">
        <f t="shared" ref="G26:G28" si="35">SUM(E26:F26)</f>
        <v>2126</v>
      </c>
      <c r="H26" s="50">
        <f>58+467+57</f>
        <v>582</v>
      </c>
      <c r="I26" s="49">
        <f>65+634+67</f>
        <v>766</v>
      </c>
      <c r="J26" s="25">
        <f t="shared" ref="J26:J28" si="36">SUM(H26:I26)</f>
        <v>1348</v>
      </c>
      <c r="K26" s="50">
        <f>48+29</f>
        <v>77</v>
      </c>
      <c r="L26" s="49">
        <f>49+23</f>
        <v>72</v>
      </c>
      <c r="M26" s="9">
        <f t="shared" ref="M26:M28" si="37">SUM(K26:L26)</f>
        <v>149</v>
      </c>
    </row>
    <row r="27" spans="1:13" x14ac:dyDescent="0.2">
      <c r="A27" s="52" t="s">
        <v>34</v>
      </c>
      <c r="B27" s="11">
        <f>E27+H27+K27+B54+E54+H54+K54+B83+E83+H83+K83+B110+E110</f>
        <v>2313</v>
      </c>
      <c r="C27" s="10">
        <f>F27+I27+L27+C54+F54+I54+L54+C83+F83+I83+L83+C110+F110</f>
        <v>2786</v>
      </c>
      <c r="D27" s="25">
        <f t="shared" si="34"/>
        <v>5099</v>
      </c>
      <c r="E27" s="49">
        <v>1008</v>
      </c>
      <c r="F27" s="49">
        <v>1105</v>
      </c>
      <c r="G27" s="25">
        <f t="shared" si="35"/>
        <v>2113</v>
      </c>
      <c r="H27" s="50">
        <f>55+688+61</f>
        <v>804</v>
      </c>
      <c r="I27" s="49">
        <f>65+913+77</f>
        <v>1055</v>
      </c>
      <c r="J27" s="25">
        <f t="shared" si="36"/>
        <v>1859</v>
      </c>
      <c r="K27" s="50">
        <f>41+23</f>
        <v>64</v>
      </c>
      <c r="L27" s="49">
        <f>59+24</f>
        <v>83</v>
      </c>
      <c r="M27" s="9">
        <f t="shared" si="37"/>
        <v>147</v>
      </c>
    </row>
    <row r="28" spans="1:13" ht="13.5" thickBot="1" x14ac:dyDescent="0.25">
      <c r="A28" s="54" t="s">
        <v>18</v>
      </c>
      <c r="B28" s="5">
        <f>E28+H28+K28+B55+E55+H55+K55+B84+E84+H84+K84+B111+E111</f>
        <v>2386</v>
      </c>
      <c r="C28" s="43">
        <f>F28+I28+L28+C55+F55+I55+L55+C84+F84+I84+L84+C111+F111</f>
        <v>3908</v>
      </c>
      <c r="D28" s="44">
        <f t="shared" si="34"/>
        <v>6294</v>
      </c>
      <c r="E28" s="4">
        <f>490+255+77+32+1+0</f>
        <v>855</v>
      </c>
      <c r="F28" s="4">
        <f>669+415+252+114+19+1</f>
        <v>1470</v>
      </c>
      <c r="G28" s="44">
        <f t="shared" si="35"/>
        <v>2325</v>
      </c>
      <c r="H28" s="5">
        <f>34+817+69</f>
        <v>920</v>
      </c>
      <c r="I28" s="4">
        <f>61+1050+141</f>
        <v>1252</v>
      </c>
      <c r="J28" s="44">
        <f t="shared" si="36"/>
        <v>2172</v>
      </c>
      <c r="K28" s="5">
        <f>35+27</f>
        <v>62</v>
      </c>
      <c r="L28" s="4">
        <f>62+54</f>
        <v>116</v>
      </c>
      <c r="M28" s="73">
        <f t="shared" si="37"/>
        <v>178</v>
      </c>
    </row>
    <row r="29" spans="1:13" ht="13.5" thickBot="1" x14ac:dyDescent="0.25">
      <c r="A29" s="2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x14ac:dyDescent="0.2">
      <c r="A30" s="55" t="s">
        <v>38</v>
      </c>
      <c r="B30" s="67" t="s">
        <v>6</v>
      </c>
      <c r="C30" s="68"/>
      <c r="D30" s="69"/>
      <c r="E30" s="67" t="s">
        <v>7</v>
      </c>
      <c r="F30" s="68"/>
      <c r="G30" s="69"/>
      <c r="H30" s="70" t="s">
        <v>39</v>
      </c>
      <c r="I30" s="68"/>
      <c r="J30" s="71"/>
      <c r="K30" s="67" t="s">
        <v>8</v>
      </c>
      <c r="L30" s="68"/>
      <c r="M30" s="72"/>
    </row>
    <row r="31" spans="1:13" x14ac:dyDescent="0.2">
      <c r="A31" s="22" t="s">
        <v>5</v>
      </c>
      <c r="B31" s="20" t="s">
        <v>0</v>
      </c>
      <c r="C31" s="19" t="s">
        <v>1</v>
      </c>
      <c r="D31" s="27" t="s">
        <v>16</v>
      </c>
      <c r="E31" s="20" t="s">
        <v>0</v>
      </c>
      <c r="F31" s="19" t="s">
        <v>1</v>
      </c>
      <c r="G31" s="27" t="s">
        <v>16</v>
      </c>
      <c r="H31" s="26" t="s">
        <v>0</v>
      </c>
      <c r="I31" s="19" t="s">
        <v>1</v>
      </c>
      <c r="J31" s="21" t="s">
        <v>16</v>
      </c>
      <c r="K31" s="20" t="s">
        <v>0</v>
      </c>
      <c r="L31" s="19" t="s">
        <v>1</v>
      </c>
      <c r="M31" s="18" t="s">
        <v>16</v>
      </c>
    </row>
    <row r="32" spans="1:13" x14ac:dyDescent="0.2">
      <c r="A32" s="52" t="s">
        <v>40</v>
      </c>
      <c r="B32" s="40">
        <f>SUM(B34,B39,B51)</f>
        <v>716</v>
      </c>
      <c r="C32" s="41">
        <f t="shared" ref="C32:D32" si="38">SUM(C34,C39,C51)</f>
        <v>715</v>
      </c>
      <c r="D32" s="42">
        <f t="shared" si="38"/>
        <v>1431</v>
      </c>
      <c r="E32" s="40">
        <f>SUM(E34,E39,E51)</f>
        <v>1670</v>
      </c>
      <c r="F32" s="41">
        <f t="shared" ref="F32:G32" si="39">SUM(F34,F39,F51)</f>
        <v>1766</v>
      </c>
      <c r="G32" s="42">
        <f t="shared" si="39"/>
        <v>3436</v>
      </c>
      <c r="H32" s="45">
        <f>SUM(H34,H39,H51)</f>
        <v>3103</v>
      </c>
      <c r="I32" s="41">
        <f t="shared" ref="I32:J32" si="40">SUM(I34,I39,I51)</f>
        <v>3176</v>
      </c>
      <c r="J32" s="46">
        <f t="shared" si="40"/>
        <v>6279</v>
      </c>
      <c r="K32" s="40">
        <f>SUM(K34,K39,K51)</f>
        <v>40</v>
      </c>
      <c r="L32" s="41">
        <f t="shared" ref="L32:M32" si="41">SUM(L34,L39,L51)</f>
        <v>21</v>
      </c>
      <c r="M32" s="51">
        <f t="shared" si="41"/>
        <v>61</v>
      </c>
    </row>
    <row r="33" spans="1:13" x14ac:dyDescent="0.2">
      <c r="A33" s="8"/>
      <c r="B33" s="11"/>
      <c r="C33" s="10"/>
      <c r="D33" s="25"/>
      <c r="E33" s="11"/>
      <c r="F33" s="10"/>
      <c r="G33" s="25"/>
      <c r="H33" s="47"/>
      <c r="I33" s="10"/>
      <c r="J33" s="48"/>
      <c r="K33" s="11"/>
      <c r="L33" s="10"/>
      <c r="M33" s="9"/>
    </row>
    <row r="34" spans="1:13" ht="24" x14ac:dyDescent="0.2">
      <c r="A34" s="12" t="s">
        <v>13</v>
      </c>
      <c r="B34" s="11">
        <f>SUM(B35:B37)</f>
        <v>125</v>
      </c>
      <c r="C34" s="10">
        <f t="shared" ref="C34" si="42">SUM(C35:C37)</f>
        <v>98</v>
      </c>
      <c r="D34" s="25">
        <f>SUM(D35:D37)</f>
        <v>223</v>
      </c>
      <c r="E34" s="11">
        <f>SUM(E35:E37)</f>
        <v>263</v>
      </c>
      <c r="F34" s="10">
        <f t="shared" ref="F34" si="43">SUM(F35:F37)</f>
        <v>268</v>
      </c>
      <c r="G34" s="25">
        <f>SUM(G35:G37)</f>
        <v>531</v>
      </c>
      <c r="H34" s="11">
        <f>SUM(H35:H37)</f>
        <v>596</v>
      </c>
      <c r="I34" s="10">
        <f t="shared" ref="I34" si="44">SUM(I35:I37)</f>
        <v>544</v>
      </c>
      <c r="J34" s="25">
        <f>SUM(J35:J37)</f>
        <v>1140</v>
      </c>
      <c r="K34" s="11">
        <f>SUM(K35:K37)</f>
        <v>0</v>
      </c>
      <c r="L34" s="10">
        <f t="shared" ref="L34" si="45">SUM(L35:L37)</f>
        <v>0</v>
      </c>
      <c r="M34" s="9">
        <f>SUM(M35:M37)</f>
        <v>0</v>
      </c>
    </row>
    <row r="35" spans="1:13" x14ac:dyDescent="0.2">
      <c r="A35" s="52" t="s">
        <v>20</v>
      </c>
      <c r="B35" s="50">
        <v>46</v>
      </c>
      <c r="C35" s="49">
        <v>26</v>
      </c>
      <c r="D35" s="25">
        <f>SUM(B35:C35)</f>
        <v>72</v>
      </c>
      <c r="E35" s="50">
        <v>73</v>
      </c>
      <c r="F35" s="49">
        <v>82</v>
      </c>
      <c r="G35" s="25">
        <f>SUM(E35:F35)</f>
        <v>155</v>
      </c>
      <c r="H35" s="49">
        <f>74+16+3+27</f>
        <v>120</v>
      </c>
      <c r="I35" s="49">
        <f>72+12+1+20</f>
        <v>105</v>
      </c>
      <c r="J35" s="25">
        <f>SUM(H35:I35)</f>
        <v>225</v>
      </c>
      <c r="K35" s="50">
        <v>0</v>
      </c>
      <c r="L35" s="49">
        <v>0</v>
      </c>
      <c r="M35" s="9">
        <f>SUM(K35:L35)</f>
        <v>0</v>
      </c>
    </row>
    <row r="36" spans="1:13" x14ac:dyDescent="0.2">
      <c r="A36" s="52" t="s">
        <v>19</v>
      </c>
      <c r="B36" s="50">
        <v>39</v>
      </c>
      <c r="C36" s="49">
        <v>22</v>
      </c>
      <c r="D36" s="25">
        <f t="shared" ref="D36:D37" si="46">SUM(B36:C36)</f>
        <v>61</v>
      </c>
      <c r="E36" s="50">
        <v>80</v>
      </c>
      <c r="F36" s="49">
        <v>99</v>
      </c>
      <c r="G36" s="25">
        <f t="shared" ref="G36:G37" si="47">SUM(E36:F36)</f>
        <v>179</v>
      </c>
      <c r="H36" s="49">
        <f>154+22+2+36</f>
        <v>214</v>
      </c>
      <c r="I36" s="49">
        <f>124+27+3+23</f>
        <v>177</v>
      </c>
      <c r="J36" s="25">
        <f t="shared" ref="J36:J37" si="48">SUM(H36:I36)</f>
        <v>391</v>
      </c>
      <c r="K36" s="50">
        <v>0</v>
      </c>
      <c r="L36" s="49">
        <v>0</v>
      </c>
      <c r="M36" s="9">
        <f t="shared" ref="M36:M37" si="49">SUM(K36:L36)</f>
        <v>0</v>
      </c>
    </row>
    <row r="37" spans="1:13" x14ac:dyDescent="0.2">
      <c r="A37" s="52" t="s">
        <v>21</v>
      </c>
      <c r="B37" s="50">
        <v>40</v>
      </c>
      <c r="C37" s="49">
        <v>50</v>
      </c>
      <c r="D37" s="25">
        <f t="shared" si="46"/>
        <v>90</v>
      </c>
      <c r="E37" s="50">
        <v>110</v>
      </c>
      <c r="F37" s="49">
        <v>87</v>
      </c>
      <c r="G37" s="25">
        <f t="shared" si="47"/>
        <v>197</v>
      </c>
      <c r="H37" s="49">
        <f>171+68+1+22</f>
        <v>262</v>
      </c>
      <c r="I37" s="49">
        <f>190+43+1+28</f>
        <v>262</v>
      </c>
      <c r="J37" s="25">
        <f t="shared" si="48"/>
        <v>524</v>
      </c>
      <c r="K37" s="50">
        <v>0</v>
      </c>
      <c r="L37" s="49">
        <v>0</v>
      </c>
      <c r="M37" s="9">
        <f t="shared" si="49"/>
        <v>0</v>
      </c>
    </row>
    <row r="38" spans="1:13" x14ac:dyDescent="0.2">
      <c r="A38" s="8"/>
      <c r="B38" s="11"/>
      <c r="C38" s="10"/>
      <c r="D38" s="25"/>
      <c r="E38" s="11"/>
      <c r="F38" s="10"/>
      <c r="G38" s="25"/>
      <c r="H38" s="47"/>
      <c r="I38" s="10"/>
      <c r="J38" s="25"/>
      <c r="K38" s="11"/>
      <c r="L38" s="10"/>
      <c r="M38" s="9"/>
    </row>
    <row r="39" spans="1:13" ht="24" x14ac:dyDescent="0.2">
      <c r="A39" s="12" t="s">
        <v>3</v>
      </c>
      <c r="B39" s="11">
        <f>SUM(B40:B49)</f>
        <v>480</v>
      </c>
      <c r="C39" s="10">
        <f t="shared" ref="C39:D39" si="50">SUM(C40:C49)</f>
        <v>403</v>
      </c>
      <c r="D39" s="25">
        <f t="shared" si="50"/>
        <v>883</v>
      </c>
      <c r="E39" s="11">
        <f>SUM(E40:E49)</f>
        <v>1210</v>
      </c>
      <c r="F39" s="10">
        <f t="shared" ref="F39:G39" si="51">SUM(F40:F49)</f>
        <v>1227</v>
      </c>
      <c r="G39" s="25">
        <f t="shared" si="51"/>
        <v>2437</v>
      </c>
      <c r="H39" s="47">
        <f>SUM(H40:H49)</f>
        <v>2161</v>
      </c>
      <c r="I39" s="10">
        <f t="shared" ref="I39:J39" si="52">SUM(I40:I49)</f>
        <v>2161</v>
      </c>
      <c r="J39" s="25">
        <f t="shared" si="52"/>
        <v>4322</v>
      </c>
      <c r="K39" s="11">
        <f>SUM(K40:K49)</f>
        <v>27</v>
      </c>
      <c r="L39" s="10">
        <f t="shared" ref="L39:M39" si="53">SUM(L40:L49)</f>
        <v>6</v>
      </c>
      <c r="M39" s="9">
        <f t="shared" si="53"/>
        <v>33</v>
      </c>
    </row>
    <row r="40" spans="1:13" x14ac:dyDescent="0.2">
      <c r="A40" s="52" t="s">
        <v>22</v>
      </c>
      <c r="B40" s="50">
        <v>55</v>
      </c>
      <c r="C40" s="49">
        <v>45</v>
      </c>
      <c r="D40" s="25">
        <f>SUM(B40:C40)</f>
        <v>100</v>
      </c>
      <c r="E40" s="50">
        <v>142</v>
      </c>
      <c r="F40" s="49">
        <v>134</v>
      </c>
      <c r="G40" s="25">
        <f>SUM(E40:F40)</f>
        <v>276</v>
      </c>
      <c r="H40" s="49">
        <f>149+77+1+18</f>
        <v>245</v>
      </c>
      <c r="I40" s="49">
        <f>131+74+1+19</f>
        <v>225</v>
      </c>
      <c r="J40" s="25">
        <f>SUM(H40:I40)</f>
        <v>470</v>
      </c>
      <c r="K40" s="50">
        <v>0</v>
      </c>
      <c r="L40" s="49">
        <v>0</v>
      </c>
      <c r="M40" s="9">
        <f>SUM(K40:L40)</f>
        <v>0</v>
      </c>
    </row>
    <row r="41" spans="1:13" x14ac:dyDescent="0.2">
      <c r="A41" s="52" t="s">
        <v>23</v>
      </c>
      <c r="B41" s="50">
        <v>44</v>
      </c>
      <c r="C41" s="49">
        <v>31</v>
      </c>
      <c r="D41" s="25">
        <f t="shared" ref="D41:D42" si="54">SUM(B41:C41)</f>
        <v>75</v>
      </c>
      <c r="E41" s="50">
        <v>109</v>
      </c>
      <c r="F41" s="49">
        <v>123</v>
      </c>
      <c r="G41" s="25">
        <f t="shared" ref="G41:G42" si="55">SUM(E41:F41)</f>
        <v>232</v>
      </c>
      <c r="H41" s="49">
        <f>98+54+2+17</f>
        <v>171</v>
      </c>
      <c r="I41" s="49">
        <f>112+67+1+13</f>
        <v>193</v>
      </c>
      <c r="J41" s="25">
        <f t="shared" ref="J41:J42" si="56">SUM(H41:I41)</f>
        <v>364</v>
      </c>
      <c r="K41" s="50">
        <v>6</v>
      </c>
      <c r="L41" s="49">
        <v>0</v>
      </c>
      <c r="M41" s="9">
        <f t="shared" ref="M41:M42" si="57">SUM(K41:L41)</f>
        <v>6</v>
      </c>
    </row>
    <row r="42" spans="1:13" x14ac:dyDescent="0.2">
      <c r="A42" s="52" t="s">
        <v>24</v>
      </c>
      <c r="B42" s="50">
        <v>33</v>
      </c>
      <c r="C42" s="49">
        <v>17</v>
      </c>
      <c r="D42" s="25">
        <f t="shared" si="54"/>
        <v>50</v>
      </c>
      <c r="E42" s="50">
        <v>53</v>
      </c>
      <c r="F42" s="49">
        <v>64</v>
      </c>
      <c r="G42" s="25">
        <f t="shared" si="55"/>
        <v>117</v>
      </c>
      <c r="H42" s="49">
        <f>70+28+2+14</f>
        <v>114</v>
      </c>
      <c r="I42" s="49">
        <f>66+16+1+11</f>
        <v>94</v>
      </c>
      <c r="J42" s="25">
        <f t="shared" si="56"/>
        <v>208</v>
      </c>
      <c r="K42" s="50">
        <v>0</v>
      </c>
      <c r="L42" s="49">
        <v>0</v>
      </c>
      <c r="M42" s="9">
        <f t="shared" si="57"/>
        <v>0</v>
      </c>
    </row>
    <row r="43" spans="1:13" x14ac:dyDescent="0.2">
      <c r="A43" s="52" t="s">
        <v>25</v>
      </c>
      <c r="B43" s="50">
        <v>22</v>
      </c>
      <c r="C43" s="49">
        <v>35</v>
      </c>
      <c r="D43" s="25">
        <f>SUM(B43:C43)</f>
        <v>57</v>
      </c>
      <c r="E43" s="50">
        <v>90</v>
      </c>
      <c r="F43" s="49">
        <v>99</v>
      </c>
      <c r="G43" s="25">
        <f>SUM(E43:F43)</f>
        <v>189</v>
      </c>
      <c r="H43" s="49">
        <f>66+19+2+30</f>
        <v>117</v>
      </c>
      <c r="I43" s="49">
        <f>74+19+2+30</f>
        <v>125</v>
      </c>
      <c r="J43" s="25">
        <f>SUM(H43:I43)</f>
        <v>242</v>
      </c>
      <c r="K43" s="50">
        <v>1</v>
      </c>
      <c r="L43" s="49">
        <v>0</v>
      </c>
      <c r="M43" s="9">
        <f>SUM(K43:L43)</f>
        <v>1</v>
      </c>
    </row>
    <row r="44" spans="1:13" x14ac:dyDescent="0.2">
      <c r="A44" s="52" t="s">
        <v>26</v>
      </c>
      <c r="B44" s="50">
        <v>33</v>
      </c>
      <c r="C44" s="49">
        <v>33</v>
      </c>
      <c r="D44" s="25">
        <f t="shared" ref="D44:D45" si="58">SUM(B44:C44)</f>
        <v>66</v>
      </c>
      <c r="E44" s="50">
        <v>84</v>
      </c>
      <c r="F44" s="49">
        <v>84</v>
      </c>
      <c r="G44" s="25">
        <f t="shared" ref="G44:G45" si="59">SUM(E44:F44)</f>
        <v>168</v>
      </c>
      <c r="H44" s="49">
        <f>115+13+2+34</f>
        <v>164</v>
      </c>
      <c r="I44" s="49">
        <f>147+22+0+34</f>
        <v>203</v>
      </c>
      <c r="J44" s="25">
        <f t="shared" ref="J44:J45" si="60">SUM(H44:I44)</f>
        <v>367</v>
      </c>
      <c r="K44" s="50">
        <v>2</v>
      </c>
      <c r="L44" s="49">
        <v>1</v>
      </c>
      <c r="M44" s="9">
        <f t="shared" ref="M44:M45" si="61">SUM(K44:L44)</f>
        <v>3</v>
      </c>
    </row>
    <row r="45" spans="1:13" x14ac:dyDescent="0.2">
      <c r="A45" s="52" t="s">
        <v>27</v>
      </c>
      <c r="B45" s="50">
        <v>57</v>
      </c>
      <c r="C45" s="49">
        <v>60</v>
      </c>
      <c r="D45" s="25">
        <f t="shared" si="58"/>
        <v>117</v>
      </c>
      <c r="E45" s="50">
        <v>91</v>
      </c>
      <c r="F45" s="49">
        <v>104</v>
      </c>
      <c r="G45" s="25">
        <f t="shared" si="59"/>
        <v>195</v>
      </c>
      <c r="H45" s="49">
        <f>172+39+3+36</f>
        <v>250</v>
      </c>
      <c r="I45" s="49">
        <f>168+51+1+34</f>
        <v>254</v>
      </c>
      <c r="J45" s="25">
        <f t="shared" si="60"/>
        <v>504</v>
      </c>
      <c r="K45" s="50">
        <v>5</v>
      </c>
      <c r="L45" s="49">
        <v>0</v>
      </c>
      <c r="M45" s="9">
        <f t="shared" si="61"/>
        <v>5</v>
      </c>
    </row>
    <row r="46" spans="1:13" x14ac:dyDescent="0.2">
      <c r="A46" s="52" t="s">
        <v>28</v>
      </c>
      <c r="B46" s="50">
        <v>66</v>
      </c>
      <c r="C46" s="49">
        <v>75</v>
      </c>
      <c r="D46" s="25">
        <f>SUM(B46:C46)</f>
        <v>141</v>
      </c>
      <c r="E46" s="50">
        <v>158</v>
      </c>
      <c r="F46" s="49">
        <v>157</v>
      </c>
      <c r="G46" s="25">
        <f>SUM(E46:F46)</f>
        <v>315</v>
      </c>
      <c r="H46" s="49">
        <f>196+92+5+24</f>
        <v>317</v>
      </c>
      <c r="I46" s="49">
        <f>191+95+4+28</f>
        <v>318</v>
      </c>
      <c r="J46" s="25">
        <f>SUM(H46:I46)</f>
        <v>635</v>
      </c>
      <c r="K46" s="50">
        <v>2</v>
      </c>
      <c r="L46" s="49">
        <v>1</v>
      </c>
      <c r="M46" s="9">
        <f>SUM(K46:L46)</f>
        <v>3</v>
      </c>
    </row>
    <row r="47" spans="1:13" x14ac:dyDescent="0.2">
      <c r="A47" s="52" t="s">
        <v>29</v>
      </c>
      <c r="B47" s="50">
        <v>99</v>
      </c>
      <c r="C47" s="49">
        <v>51</v>
      </c>
      <c r="D47" s="25">
        <f>SUM(B47:C47)</f>
        <v>150</v>
      </c>
      <c r="E47" s="50">
        <v>196</v>
      </c>
      <c r="F47" s="49">
        <v>188</v>
      </c>
      <c r="G47" s="25">
        <f>SUM(E47:F47)</f>
        <v>384</v>
      </c>
      <c r="H47" s="49">
        <f>185+111+8+28</f>
        <v>332</v>
      </c>
      <c r="I47" s="49">
        <f>203+112+2+24</f>
        <v>341</v>
      </c>
      <c r="J47" s="25">
        <f>SUM(H47:I47)</f>
        <v>673</v>
      </c>
      <c r="K47" s="50">
        <v>2</v>
      </c>
      <c r="L47" s="49">
        <v>1</v>
      </c>
      <c r="M47" s="9">
        <f>SUM(K47:L47)</f>
        <v>3</v>
      </c>
    </row>
    <row r="48" spans="1:13" x14ac:dyDescent="0.2">
      <c r="A48" s="52" t="s">
        <v>30</v>
      </c>
      <c r="B48" s="50">
        <v>37</v>
      </c>
      <c r="C48" s="49">
        <v>32</v>
      </c>
      <c r="D48" s="25">
        <f t="shared" ref="D48:D49" si="62">SUM(B48:C48)</f>
        <v>69</v>
      </c>
      <c r="E48" s="50">
        <v>169</v>
      </c>
      <c r="F48" s="49">
        <v>168</v>
      </c>
      <c r="G48" s="25">
        <f t="shared" ref="G48:G49" si="63">SUM(E48:F48)</f>
        <v>337</v>
      </c>
      <c r="H48" s="49">
        <f>167+76+5+14</f>
        <v>262</v>
      </c>
      <c r="I48" s="49">
        <f>157+70+3+17</f>
        <v>247</v>
      </c>
      <c r="J48" s="25">
        <f t="shared" ref="J48:J49" si="64">SUM(H48:I48)</f>
        <v>509</v>
      </c>
      <c r="K48" s="50">
        <v>4</v>
      </c>
      <c r="L48" s="49">
        <v>3</v>
      </c>
      <c r="M48" s="9">
        <f t="shared" ref="M48:M49" si="65">SUM(K48:L48)</f>
        <v>7</v>
      </c>
    </row>
    <row r="49" spans="1:13" x14ac:dyDescent="0.2">
      <c r="A49" s="52" t="s">
        <v>31</v>
      </c>
      <c r="B49" s="50">
        <v>34</v>
      </c>
      <c r="C49" s="49">
        <v>24</v>
      </c>
      <c r="D49" s="25">
        <f t="shared" si="62"/>
        <v>58</v>
      </c>
      <c r="E49" s="50">
        <v>118</v>
      </c>
      <c r="F49" s="49">
        <v>106</v>
      </c>
      <c r="G49" s="25">
        <f t="shared" si="63"/>
        <v>224</v>
      </c>
      <c r="H49" s="49">
        <f>127+45+3+14</f>
        <v>189</v>
      </c>
      <c r="I49" s="49">
        <f>113+36+3+9</f>
        <v>161</v>
      </c>
      <c r="J49" s="25">
        <f t="shared" si="64"/>
        <v>350</v>
      </c>
      <c r="K49" s="50">
        <v>5</v>
      </c>
      <c r="L49" s="49">
        <v>0</v>
      </c>
      <c r="M49" s="9">
        <f t="shared" si="65"/>
        <v>5</v>
      </c>
    </row>
    <row r="50" spans="1:13" x14ac:dyDescent="0.2">
      <c r="A50" s="8"/>
      <c r="B50" s="11"/>
      <c r="C50" s="10"/>
      <c r="D50" s="25"/>
      <c r="E50" s="11"/>
      <c r="F50" s="10"/>
      <c r="G50" s="25"/>
      <c r="H50" s="47"/>
      <c r="I50" s="10"/>
      <c r="J50" s="25"/>
      <c r="K50" s="11"/>
      <c r="L50" s="10"/>
      <c r="M50" s="9"/>
    </row>
    <row r="51" spans="1:13" ht="24" x14ac:dyDescent="0.2">
      <c r="A51" s="12" t="s">
        <v>4</v>
      </c>
      <c r="B51" s="11">
        <f>SUM(B52:B55)</f>
        <v>111</v>
      </c>
      <c r="C51" s="10">
        <f t="shared" ref="C51:D51" si="66">SUM(C52:C55)</f>
        <v>214</v>
      </c>
      <c r="D51" s="25">
        <f t="shared" si="66"/>
        <v>325</v>
      </c>
      <c r="E51" s="11">
        <f>SUM(E52:E55)</f>
        <v>197</v>
      </c>
      <c r="F51" s="10">
        <f t="shared" ref="F51:G51" si="67">SUM(F52:F55)</f>
        <v>271</v>
      </c>
      <c r="G51" s="25">
        <f t="shared" si="67"/>
        <v>468</v>
      </c>
      <c r="H51" s="47">
        <f>SUM(H52:H55)</f>
        <v>346</v>
      </c>
      <c r="I51" s="10">
        <f t="shared" ref="I51:J51" si="68">SUM(I52:I55)</f>
        <v>471</v>
      </c>
      <c r="J51" s="25">
        <f t="shared" si="68"/>
        <v>817</v>
      </c>
      <c r="K51" s="11">
        <f>SUM(K52:K55)</f>
        <v>13</v>
      </c>
      <c r="L51" s="10">
        <f t="shared" ref="L51:M51" si="69">SUM(L52:L55)</f>
        <v>15</v>
      </c>
      <c r="M51" s="9">
        <f t="shared" si="69"/>
        <v>28</v>
      </c>
    </row>
    <row r="52" spans="1:13" x14ac:dyDescent="0.2">
      <c r="A52" s="52" t="s">
        <v>32</v>
      </c>
      <c r="B52" s="50">
        <v>16</v>
      </c>
      <c r="C52" s="49">
        <v>28</v>
      </c>
      <c r="D52" s="25">
        <f>SUM(B52:C52)</f>
        <v>44</v>
      </c>
      <c r="E52" s="50">
        <v>64</v>
      </c>
      <c r="F52" s="49">
        <v>50</v>
      </c>
      <c r="G52" s="25">
        <f>SUM(E52:F52)</f>
        <v>114</v>
      </c>
      <c r="H52" s="49">
        <f>81+17+3+5</f>
        <v>106</v>
      </c>
      <c r="I52" s="49">
        <f>88+19+1+9</f>
        <v>117</v>
      </c>
      <c r="J52" s="25">
        <f>SUM(H52:I52)</f>
        <v>223</v>
      </c>
      <c r="K52" s="50">
        <v>1</v>
      </c>
      <c r="L52" s="49">
        <v>2</v>
      </c>
      <c r="M52" s="9">
        <f>SUM(K52:L52)</f>
        <v>3</v>
      </c>
    </row>
    <row r="53" spans="1:13" x14ac:dyDescent="0.2">
      <c r="A53" s="52" t="s">
        <v>33</v>
      </c>
      <c r="B53" s="50">
        <v>24</v>
      </c>
      <c r="C53" s="49">
        <v>30</v>
      </c>
      <c r="D53" s="25">
        <f t="shared" ref="D53:D55" si="70">SUM(B53:C53)</f>
        <v>54</v>
      </c>
      <c r="E53" s="50">
        <v>40</v>
      </c>
      <c r="F53" s="49">
        <v>50</v>
      </c>
      <c r="G53" s="25">
        <f t="shared" ref="G53:G55" si="71">SUM(E53:F53)</f>
        <v>90</v>
      </c>
      <c r="H53" s="49">
        <f>73+21+2+9</f>
        <v>105</v>
      </c>
      <c r="I53" s="49">
        <f>66+15+2+11</f>
        <v>94</v>
      </c>
      <c r="J53" s="25">
        <f t="shared" ref="J53:J55" si="72">SUM(H53:I53)</f>
        <v>199</v>
      </c>
      <c r="K53" s="50">
        <v>2</v>
      </c>
      <c r="L53" s="49">
        <v>2</v>
      </c>
      <c r="M53" s="9">
        <f t="shared" ref="M53:M55" si="73">SUM(K53:L53)</f>
        <v>4</v>
      </c>
    </row>
    <row r="54" spans="1:13" x14ac:dyDescent="0.2">
      <c r="A54" s="52" t="s">
        <v>34</v>
      </c>
      <c r="B54" s="50">
        <v>24</v>
      </c>
      <c r="C54" s="49">
        <v>29</v>
      </c>
      <c r="D54" s="25">
        <f t="shared" si="70"/>
        <v>53</v>
      </c>
      <c r="E54" s="50">
        <v>43</v>
      </c>
      <c r="F54" s="49">
        <v>67</v>
      </c>
      <c r="G54" s="25">
        <f t="shared" si="71"/>
        <v>110</v>
      </c>
      <c r="H54" s="49">
        <f>43+9+3+7</f>
        <v>62</v>
      </c>
      <c r="I54" s="49">
        <f>67+21+1+9</f>
        <v>98</v>
      </c>
      <c r="J54" s="25">
        <f t="shared" si="72"/>
        <v>160</v>
      </c>
      <c r="K54" s="50">
        <v>4</v>
      </c>
      <c r="L54" s="49">
        <v>4</v>
      </c>
      <c r="M54" s="9">
        <f t="shared" si="73"/>
        <v>8</v>
      </c>
    </row>
    <row r="55" spans="1:13" ht="13.5" thickBot="1" x14ac:dyDescent="0.25">
      <c r="A55" s="54" t="s">
        <v>18</v>
      </c>
      <c r="B55" s="5">
        <f>21+15+8+3</f>
        <v>47</v>
      </c>
      <c r="C55" s="4">
        <f>44+32+32+17+2</f>
        <v>127</v>
      </c>
      <c r="D55" s="44">
        <f t="shared" si="70"/>
        <v>174</v>
      </c>
      <c r="E55" s="5">
        <f>22+18+9+1</f>
        <v>50</v>
      </c>
      <c r="F55" s="4">
        <f>45+38+14+6+1</f>
        <v>104</v>
      </c>
      <c r="G55" s="44">
        <f t="shared" si="71"/>
        <v>154</v>
      </c>
      <c r="H55" s="4">
        <f>47+16+6+4</f>
        <v>73</v>
      </c>
      <c r="I55" s="4">
        <f>121+23+9+9</f>
        <v>162</v>
      </c>
      <c r="J55" s="44">
        <f t="shared" si="72"/>
        <v>235</v>
      </c>
      <c r="K55" s="5">
        <v>6</v>
      </c>
      <c r="L55" s="4">
        <v>7</v>
      </c>
      <c r="M55" s="73">
        <f t="shared" si="73"/>
        <v>13</v>
      </c>
    </row>
    <row r="56" spans="1:13" x14ac:dyDescent="0.2">
      <c r="A56" s="32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9" x14ac:dyDescent="0.3">
      <c r="A57" s="30" t="s">
        <v>44</v>
      </c>
      <c r="B57" s="3"/>
      <c r="C57" s="3"/>
      <c r="D57" s="3"/>
      <c r="E57" s="3"/>
      <c r="F57" s="3"/>
      <c r="G57" s="3"/>
      <c r="H57" s="3"/>
      <c r="I57" s="3"/>
      <c r="J57" s="3"/>
      <c r="K57" s="74"/>
      <c r="L57" s="74"/>
      <c r="M57" s="74"/>
    </row>
    <row r="58" spans="1:13" ht="13.5" thickBot="1" x14ac:dyDescent="0.25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2">
      <c r="A59" s="55" t="s">
        <v>38</v>
      </c>
      <c r="B59" s="67" t="s">
        <v>12</v>
      </c>
      <c r="C59" s="68"/>
      <c r="D59" s="69"/>
      <c r="E59" s="67" t="s">
        <v>9</v>
      </c>
      <c r="F59" s="68"/>
      <c r="G59" s="69"/>
      <c r="H59" s="70" t="s">
        <v>2</v>
      </c>
      <c r="I59" s="68"/>
      <c r="J59" s="71"/>
      <c r="K59" s="67" t="s">
        <v>10</v>
      </c>
      <c r="L59" s="68"/>
      <c r="M59" s="72"/>
    </row>
    <row r="60" spans="1:13" x14ac:dyDescent="0.2">
      <c r="A60" s="22" t="s">
        <v>5</v>
      </c>
      <c r="B60" s="20" t="s">
        <v>0</v>
      </c>
      <c r="C60" s="19" t="s">
        <v>1</v>
      </c>
      <c r="D60" s="27" t="s">
        <v>16</v>
      </c>
      <c r="E60" s="20" t="s">
        <v>0</v>
      </c>
      <c r="F60" s="19" t="s">
        <v>1</v>
      </c>
      <c r="G60" s="27" t="s">
        <v>16</v>
      </c>
      <c r="H60" s="26" t="s">
        <v>0</v>
      </c>
      <c r="I60" s="19" t="s">
        <v>1</v>
      </c>
      <c r="J60" s="21" t="s">
        <v>16</v>
      </c>
      <c r="K60" s="20" t="s">
        <v>0</v>
      </c>
      <c r="L60" s="19" t="s">
        <v>1</v>
      </c>
      <c r="M60" s="18" t="s">
        <v>16</v>
      </c>
    </row>
    <row r="61" spans="1:13" x14ac:dyDescent="0.2">
      <c r="A61" s="52" t="s">
        <v>40</v>
      </c>
      <c r="B61" s="40">
        <f>SUM(B63,B68,B80)</f>
        <v>685</v>
      </c>
      <c r="C61" s="41">
        <f t="shared" ref="C61:D61" si="74">SUM(C63,C68,C80)</f>
        <v>732</v>
      </c>
      <c r="D61" s="42">
        <f t="shared" si="74"/>
        <v>1417</v>
      </c>
      <c r="E61" s="40">
        <f>SUM(E63,E68,E80)</f>
        <v>136</v>
      </c>
      <c r="F61" s="41">
        <f t="shared" ref="F61:G61" si="75">SUM(F63,F68,F80)</f>
        <v>118</v>
      </c>
      <c r="G61" s="42">
        <f t="shared" si="75"/>
        <v>254</v>
      </c>
      <c r="H61" s="45">
        <f>SUM(H63,H68,H80)</f>
        <v>90</v>
      </c>
      <c r="I61" s="41">
        <f t="shared" ref="I61:J61" si="76">SUM(I63,I68,I80)</f>
        <v>71</v>
      </c>
      <c r="J61" s="46">
        <f t="shared" si="76"/>
        <v>161</v>
      </c>
      <c r="K61" s="40">
        <f>SUM(K63,K68,K80)</f>
        <v>702</v>
      </c>
      <c r="L61" s="41">
        <f t="shared" ref="L61:M61" si="77">SUM(L63,L68,L80)</f>
        <v>674</v>
      </c>
      <c r="M61" s="51">
        <f t="shared" si="77"/>
        <v>1376</v>
      </c>
    </row>
    <row r="62" spans="1:13" x14ac:dyDescent="0.2">
      <c r="A62" s="8"/>
      <c r="B62" s="11"/>
      <c r="C62" s="10"/>
      <c r="D62" s="25"/>
      <c r="E62" s="11"/>
      <c r="F62" s="10"/>
      <c r="G62" s="25"/>
      <c r="H62" s="47"/>
      <c r="I62" s="10"/>
      <c r="J62" s="48"/>
      <c r="K62" s="11"/>
      <c r="L62" s="10"/>
      <c r="M62" s="9"/>
    </row>
    <row r="63" spans="1:13" ht="24" x14ac:dyDescent="0.2">
      <c r="A63" s="12" t="s">
        <v>14</v>
      </c>
      <c r="B63" s="11">
        <f>SUM(B64:B66)</f>
        <v>43</v>
      </c>
      <c r="C63" s="10">
        <f t="shared" ref="C63" si="78">SUM(C64:C66)</f>
        <v>40</v>
      </c>
      <c r="D63" s="25">
        <f>SUM(D64:D66)</f>
        <v>83</v>
      </c>
      <c r="E63" s="11">
        <f>SUM(E64:E66)</f>
        <v>3</v>
      </c>
      <c r="F63" s="10">
        <f t="shared" ref="F63" si="79">SUM(F64:F66)</f>
        <v>2</v>
      </c>
      <c r="G63" s="25">
        <f>SUM(G64:G66)</f>
        <v>5</v>
      </c>
      <c r="H63" s="11">
        <f>SUM(H64:H66)</f>
        <v>7</v>
      </c>
      <c r="I63" s="10">
        <f t="shared" ref="I63" si="80">SUM(I64:I66)</f>
        <v>2</v>
      </c>
      <c r="J63" s="25">
        <f>SUM(J64:J66)</f>
        <v>9</v>
      </c>
      <c r="K63" s="11">
        <f>SUM(K64:K66)</f>
        <v>38</v>
      </c>
      <c r="L63" s="10">
        <f t="shared" ref="L63" si="81">SUM(L64:L66)</f>
        <v>39</v>
      </c>
      <c r="M63" s="9">
        <f>SUM(M64:M66)</f>
        <v>77</v>
      </c>
    </row>
    <row r="64" spans="1:13" x14ac:dyDescent="0.2">
      <c r="A64" s="52" t="s">
        <v>20</v>
      </c>
      <c r="B64" s="50">
        <f>1+8</f>
        <v>9</v>
      </c>
      <c r="C64" s="49">
        <f>2+4</f>
        <v>6</v>
      </c>
      <c r="D64" s="25">
        <f>SUM(B64:C64)</f>
        <v>15</v>
      </c>
      <c r="E64" s="50">
        <v>0</v>
      </c>
      <c r="F64" s="49">
        <v>1</v>
      </c>
      <c r="G64" s="25">
        <f>SUM(E64:F64)</f>
        <v>1</v>
      </c>
      <c r="H64" s="49">
        <v>0</v>
      </c>
      <c r="I64" s="49">
        <v>0</v>
      </c>
      <c r="J64" s="25">
        <f>SUM(H64:I64)</f>
        <v>0</v>
      </c>
      <c r="K64" s="50">
        <f>6+1+3</f>
        <v>10</v>
      </c>
      <c r="L64" s="49">
        <f>6+2</f>
        <v>8</v>
      </c>
      <c r="M64" s="9">
        <f>SUM(K64:L64)</f>
        <v>18</v>
      </c>
    </row>
    <row r="65" spans="1:13" x14ac:dyDescent="0.2">
      <c r="A65" s="52" t="s">
        <v>19</v>
      </c>
      <c r="B65" s="50">
        <f>3+10</f>
        <v>13</v>
      </c>
      <c r="C65" s="49">
        <f>1+13</f>
        <v>14</v>
      </c>
      <c r="D65" s="25">
        <f t="shared" ref="D65:D66" si="82">SUM(B65:C65)</f>
        <v>27</v>
      </c>
      <c r="E65" s="50">
        <v>1</v>
      </c>
      <c r="F65" s="49">
        <v>1</v>
      </c>
      <c r="G65" s="25">
        <f t="shared" ref="G65:G66" si="83">SUM(E65:F65)</f>
        <v>2</v>
      </c>
      <c r="H65" s="49">
        <v>2</v>
      </c>
      <c r="I65" s="49">
        <v>2</v>
      </c>
      <c r="J65" s="25">
        <f t="shared" ref="J65:J66" si="84">SUM(H65:I65)</f>
        <v>4</v>
      </c>
      <c r="K65" s="50">
        <f>11+1+4</f>
        <v>16</v>
      </c>
      <c r="L65" s="49">
        <f>5+6</f>
        <v>11</v>
      </c>
      <c r="M65" s="9">
        <f t="shared" ref="M65:M66" si="85">SUM(K65:L65)</f>
        <v>27</v>
      </c>
    </row>
    <row r="66" spans="1:13" x14ac:dyDescent="0.2">
      <c r="A66" s="52" t="s">
        <v>21</v>
      </c>
      <c r="B66" s="50">
        <f>5+16</f>
        <v>21</v>
      </c>
      <c r="C66" s="49">
        <f>1+3+16</f>
        <v>20</v>
      </c>
      <c r="D66" s="25">
        <f t="shared" si="82"/>
        <v>41</v>
      </c>
      <c r="E66" s="50">
        <v>2</v>
      </c>
      <c r="F66" s="49">
        <v>0</v>
      </c>
      <c r="G66" s="25">
        <f t="shared" si="83"/>
        <v>2</v>
      </c>
      <c r="H66" s="49">
        <v>5</v>
      </c>
      <c r="I66" s="49">
        <v>0</v>
      </c>
      <c r="J66" s="25">
        <f t="shared" si="84"/>
        <v>5</v>
      </c>
      <c r="K66" s="50">
        <f>8+4</f>
        <v>12</v>
      </c>
      <c r="L66" s="49">
        <f>9+3+8</f>
        <v>20</v>
      </c>
      <c r="M66" s="9">
        <f t="shared" si="85"/>
        <v>32</v>
      </c>
    </row>
    <row r="67" spans="1:13" x14ac:dyDescent="0.2">
      <c r="A67" s="8"/>
      <c r="B67" s="11"/>
      <c r="C67" s="10"/>
      <c r="D67" s="25"/>
      <c r="E67" s="11"/>
      <c r="F67" s="10"/>
      <c r="G67" s="25"/>
      <c r="H67" s="47"/>
      <c r="I67" s="10"/>
      <c r="J67" s="25"/>
      <c r="K67" s="11"/>
      <c r="L67" s="10"/>
      <c r="M67" s="9"/>
    </row>
    <row r="68" spans="1:13" ht="24" x14ac:dyDescent="0.2">
      <c r="A68" s="12" t="s">
        <v>3</v>
      </c>
      <c r="B68" s="11">
        <f>SUM(B69:B78)</f>
        <v>363</v>
      </c>
      <c r="C68" s="10">
        <f t="shared" ref="C68:D68" si="86">SUM(C69:C78)</f>
        <v>326</v>
      </c>
      <c r="D68" s="25">
        <f t="shared" si="86"/>
        <v>689</v>
      </c>
      <c r="E68" s="11">
        <f>SUM(E69:E78)</f>
        <v>66</v>
      </c>
      <c r="F68" s="10">
        <f t="shared" ref="F68:G68" si="87">SUM(F69:F78)</f>
        <v>49</v>
      </c>
      <c r="G68" s="25">
        <f t="shared" si="87"/>
        <v>115</v>
      </c>
      <c r="H68" s="47">
        <f>SUM(H69:H78)</f>
        <v>42</v>
      </c>
      <c r="I68" s="10">
        <f t="shared" ref="I68:J68" si="88">SUM(I69:I78)</f>
        <v>28</v>
      </c>
      <c r="J68" s="25">
        <f t="shared" si="88"/>
        <v>70</v>
      </c>
      <c r="K68" s="11">
        <f>SUM(K69:K78)</f>
        <v>371</v>
      </c>
      <c r="L68" s="10">
        <f t="shared" ref="L68:M68" si="89">SUM(L69:L78)</f>
        <v>296</v>
      </c>
      <c r="M68" s="9">
        <f t="shared" si="89"/>
        <v>667</v>
      </c>
    </row>
    <row r="69" spans="1:13" x14ac:dyDescent="0.2">
      <c r="A69" s="52" t="s">
        <v>22</v>
      </c>
      <c r="B69" s="50">
        <f>2+32</f>
        <v>34</v>
      </c>
      <c r="C69" s="49">
        <f>2+6+13</f>
        <v>21</v>
      </c>
      <c r="D69" s="25">
        <f>SUM(B69:C69)</f>
        <v>55</v>
      </c>
      <c r="E69" s="50">
        <v>2</v>
      </c>
      <c r="F69" s="49">
        <v>0</v>
      </c>
      <c r="G69" s="25">
        <f>SUM(E69:F69)</f>
        <v>2</v>
      </c>
      <c r="H69" s="49">
        <v>1</v>
      </c>
      <c r="I69" s="49">
        <v>1</v>
      </c>
      <c r="J69" s="25">
        <f>SUM(H69:I69)</f>
        <v>2</v>
      </c>
      <c r="K69" s="50">
        <f>13+1+4</f>
        <v>18</v>
      </c>
      <c r="L69" s="49">
        <f>8+2+4</f>
        <v>14</v>
      </c>
      <c r="M69" s="9">
        <f>SUM(K69:L69)</f>
        <v>32</v>
      </c>
    </row>
    <row r="70" spans="1:13" x14ac:dyDescent="0.2">
      <c r="A70" s="52" t="s">
        <v>23</v>
      </c>
      <c r="B70" s="50">
        <f>5+19</f>
        <v>24</v>
      </c>
      <c r="C70" s="49">
        <f>4+21</f>
        <v>25</v>
      </c>
      <c r="D70" s="25">
        <f t="shared" ref="D70:D71" si="90">SUM(B70:C70)</f>
        <v>49</v>
      </c>
      <c r="E70" s="50">
        <v>2</v>
      </c>
      <c r="F70" s="49">
        <v>4</v>
      </c>
      <c r="G70" s="25">
        <f t="shared" ref="G70:G71" si="91">SUM(E70:F70)</f>
        <v>6</v>
      </c>
      <c r="H70" s="49">
        <v>3</v>
      </c>
      <c r="I70" s="49">
        <v>3</v>
      </c>
      <c r="J70" s="25">
        <f t="shared" ref="J70:J71" si="92">SUM(H70:I70)</f>
        <v>6</v>
      </c>
      <c r="K70" s="50">
        <f>12+3+3</f>
        <v>18</v>
      </c>
      <c r="L70" s="49">
        <f>9+3+6</f>
        <v>18</v>
      </c>
      <c r="M70" s="9">
        <f t="shared" ref="M70:M71" si="93">SUM(K70:L70)</f>
        <v>36</v>
      </c>
    </row>
    <row r="71" spans="1:13" x14ac:dyDescent="0.2">
      <c r="A71" s="52" t="s">
        <v>24</v>
      </c>
      <c r="B71" s="50">
        <f>8+11</f>
        <v>19</v>
      </c>
      <c r="C71" s="49">
        <f>3+12</f>
        <v>15</v>
      </c>
      <c r="D71" s="25">
        <f t="shared" si="90"/>
        <v>34</v>
      </c>
      <c r="E71" s="50">
        <v>1</v>
      </c>
      <c r="F71" s="49">
        <v>2</v>
      </c>
      <c r="G71" s="25">
        <f t="shared" si="91"/>
        <v>3</v>
      </c>
      <c r="H71" s="49">
        <v>4</v>
      </c>
      <c r="I71" s="49">
        <v>2</v>
      </c>
      <c r="J71" s="25">
        <f t="shared" si="92"/>
        <v>6</v>
      </c>
      <c r="K71" s="50">
        <f>13+2</f>
        <v>15</v>
      </c>
      <c r="L71" s="49">
        <f>11+2+1</f>
        <v>14</v>
      </c>
      <c r="M71" s="9">
        <f t="shared" si="93"/>
        <v>29</v>
      </c>
    </row>
    <row r="72" spans="1:13" x14ac:dyDescent="0.2">
      <c r="A72" s="52" t="s">
        <v>25</v>
      </c>
      <c r="B72" s="50">
        <f>6+13</f>
        <v>19</v>
      </c>
      <c r="C72" s="49">
        <f>3+10</f>
        <v>13</v>
      </c>
      <c r="D72" s="25">
        <f>SUM(B72:C72)</f>
        <v>32</v>
      </c>
      <c r="E72" s="50">
        <v>2</v>
      </c>
      <c r="F72" s="49">
        <v>1</v>
      </c>
      <c r="G72" s="25">
        <f>SUM(E72:F72)</f>
        <v>3</v>
      </c>
      <c r="H72" s="49">
        <v>2</v>
      </c>
      <c r="I72" s="49">
        <v>0</v>
      </c>
      <c r="J72" s="25">
        <f>SUM(H72:I72)</f>
        <v>2</v>
      </c>
      <c r="K72" s="50">
        <f>12+5+6</f>
        <v>23</v>
      </c>
      <c r="L72" s="49">
        <f>6+1+3</f>
        <v>10</v>
      </c>
      <c r="M72" s="9">
        <f>SUM(K72:L72)</f>
        <v>33</v>
      </c>
    </row>
    <row r="73" spans="1:13" x14ac:dyDescent="0.2">
      <c r="A73" s="52" t="s">
        <v>26</v>
      </c>
      <c r="B73" s="50">
        <f>7+20</f>
        <v>27</v>
      </c>
      <c r="C73" s="49">
        <f>3+12</f>
        <v>15</v>
      </c>
      <c r="D73" s="25">
        <f t="shared" ref="D73:D74" si="94">SUM(B73:C73)</f>
        <v>42</v>
      </c>
      <c r="E73" s="50">
        <v>2</v>
      </c>
      <c r="F73" s="49">
        <v>3</v>
      </c>
      <c r="G73" s="25">
        <f t="shared" ref="G73:G74" si="95">SUM(E73:F73)</f>
        <v>5</v>
      </c>
      <c r="H73" s="49">
        <v>3</v>
      </c>
      <c r="I73" s="49">
        <v>3</v>
      </c>
      <c r="J73" s="25">
        <f t="shared" ref="J73:J74" si="96">SUM(H73:I73)</f>
        <v>6</v>
      </c>
      <c r="K73" s="50">
        <f>10+2+8</f>
        <v>20</v>
      </c>
      <c r="L73" s="49">
        <f>14+3+7</f>
        <v>24</v>
      </c>
      <c r="M73" s="9">
        <f t="shared" ref="M73:M74" si="97">SUM(K73:L73)</f>
        <v>44</v>
      </c>
    </row>
    <row r="74" spans="1:13" x14ac:dyDescent="0.2">
      <c r="A74" s="52" t="s">
        <v>27</v>
      </c>
      <c r="B74" s="50">
        <f>6+21</f>
        <v>27</v>
      </c>
      <c r="C74" s="49">
        <f>10+29</f>
        <v>39</v>
      </c>
      <c r="D74" s="25">
        <f t="shared" si="94"/>
        <v>66</v>
      </c>
      <c r="E74" s="50">
        <v>3</v>
      </c>
      <c r="F74" s="49">
        <v>4</v>
      </c>
      <c r="G74" s="25">
        <f t="shared" si="95"/>
        <v>7</v>
      </c>
      <c r="H74" s="49">
        <v>5</v>
      </c>
      <c r="I74" s="49">
        <v>3</v>
      </c>
      <c r="J74" s="25">
        <f t="shared" si="96"/>
        <v>8</v>
      </c>
      <c r="K74" s="50">
        <f>16+6+12</f>
        <v>34</v>
      </c>
      <c r="L74" s="49">
        <f>14+4+5</f>
        <v>23</v>
      </c>
      <c r="M74" s="9">
        <f t="shared" si="97"/>
        <v>57</v>
      </c>
    </row>
    <row r="75" spans="1:13" x14ac:dyDescent="0.2">
      <c r="A75" s="52" t="s">
        <v>28</v>
      </c>
      <c r="B75" s="50">
        <f>10+36</f>
        <v>46</v>
      </c>
      <c r="C75" s="49">
        <f>1+4+34</f>
        <v>39</v>
      </c>
      <c r="D75" s="25">
        <f>SUM(B75:C75)</f>
        <v>85</v>
      </c>
      <c r="E75" s="50">
        <v>8</v>
      </c>
      <c r="F75" s="49">
        <v>7</v>
      </c>
      <c r="G75" s="25">
        <f>SUM(E75:F75)</f>
        <v>15</v>
      </c>
      <c r="H75" s="49">
        <v>6</v>
      </c>
      <c r="I75" s="49">
        <v>2</v>
      </c>
      <c r="J75" s="25">
        <f>SUM(H75:I75)</f>
        <v>8</v>
      </c>
      <c r="K75" s="50">
        <f>25+6+13</f>
        <v>44</v>
      </c>
      <c r="L75" s="49">
        <f>15+2+12</f>
        <v>29</v>
      </c>
      <c r="M75" s="9">
        <f>SUM(K75:L75)</f>
        <v>73</v>
      </c>
    </row>
    <row r="76" spans="1:13" x14ac:dyDescent="0.2">
      <c r="A76" s="52" t="s">
        <v>29</v>
      </c>
      <c r="B76" s="50">
        <f>1+11+42</f>
        <v>54</v>
      </c>
      <c r="C76" s="49">
        <f>13+49</f>
        <v>62</v>
      </c>
      <c r="D76" s="25">
        <f>SUM(B76:C76)</f>
        <v>116</v>
      </c>
      <c r="E76" s="50">
        <v>12</v>
      </c>
      <c r="F76" s="49">
        <v>7</v>
      </c>
      <c r="G76" s="25">
        <f>SUM(E76:F76)</f>
        <v>19</v>
      </c>
      <c r="H76" s="49">
        <v>3</v>
      </c>
      <c r="I76" s="49">
        <v>2</v>
      </c>
      <c r="J76" s="25">
        <f>SUM(H76:I76)</f>
        <v>5</v>
      </c>
      <c r="K76" s="50">
        <f>24+3+23</f>
        <v>50</v>
      </c>
      <c r="L76" s="49">
        <f>26+5+12</f>
        <v>43</v>
      </c>
      <c r="M76" s="9">
        <f>SUM(K76:L76)</f>
        <v>93</v>
      </c>
    </row>
    <row r="77" spans="1:13" x14ac:dyDescent="0.2">
      <c r="A77" s="52" t="s">
        <v>30</v>
      </c>
      <c r="B77" s="50">
        <f>20+41</f>
        <v>61</v>
      </c>
      <c r="C77" s="49">
        <f>12+31</f>
        <v>43</v>
      </c>
      <c r="D77" s="25">
        <f t="shared" ref="D77:D78" si="98">SUM(B77:C77)</f>
        <v>104</v>
      </c>
      <c r="E77" s="50">
        <v>19</v>
      </c>
      <c r="F77" s="49">
        <v>10</v>
      </c>
      <c r="G77" s="25">
        <f t="shared" ref="G77:G78" si="99">SUM(E77:F77)</f>
        <v>29</v>
      </c>
      <c r="H77" s="49">
        <v>4</v>
      </c>
      <c r="I77" s="49">
        <v>4</v>
      </c>
      <c r="J77" s="25">
        <f t="shared" ref="J77:J78" si="100">SUM(H77:I77)</f>
        <v>8</v>
      </c>
      <c r="K77" s="50">
        <f>43+10+19</f>
        <v>72</v>
      </c>
      <c r="L77" s="49">
        <f>29+7+15</f>
        <v>51</v>
      </c>
      <c r="M77" s="9">
        <f t="shared" ref="M77:M78" si="101">SUM(K77:L77)</f>
        <v>123</v>
      </c>
    </row>
    <row r="78" spans="1:13" x14ac:dyDescent="0.2">
      <c r="A78" s="52" t="s">
        <v>31</v>
      </c>
      <c r="B78" s="50">
        <f>37+15</f>
        <v>52</v>
      </c>
      <c r="C78" s="49">
        <f>33+20+1</f>
        <v>54</v>
      </c>
      <c r="D78" s="25">
        <f t="shared" si="98"/>
        <v>106</v>
      </c>
      <c r="E78" s="50">
        <v>15</v>
      </c>
      <c r="F78" s="49">
        <v>11</v>
      </c>
      <c r="G78" s="25">
        <f t="shared" si="99"/>
        <v>26</v>
      </c>
      <c r="H78" s="49">
        <v>11</v>
      </c>
      <c r="I78" s="49">
        <v>8</v>
      </c>
      <c r="J78" s="25">
        <f t="shared" si="100"/>
        <v>19</v>
      </c>
      <c r="K78" s="50">
        <f>46+10+21</f>
        <v>77</v>
      </c>
      <c r="L78" s="49">
        <f>42+9+19</f>
        <v>70</v>
      </c>
      <c r="M78" s="9">
        <f t="shared" si="101"/>
        <v>147</v>
      </c>
    </row>
    <row r="79" spans="1:13" x14ac:dyDescent="0.2">
      <c r="A79" s="8"/>
      <c r="B79" s="11"/>
      <c r="C79" s="10"/>
      <c r="D79" s="25"/>
      <c r="E79" s="11"/>
      <c r="F79" s="10"/>
      <c r="G79" s="25"/>
      <c r="H79" s="47"/>
      <c r="I79" s="10"/>
      <c r="J79" s="25"/>
      <c r="K79" s="11"/>
      <c r="L79" s="10"/>
      <c r="M79" s="9"/>
    </row>
    <row r="80" spans="1:13" ht="24" x14ac:dyDescent="0.2">
      <c r="A80" s="12" t="s">
        <v>4</v>
      </c>
      <c r="B80" s="11">
        <f>SUM(B81:B84)</f>
        <v>279</v>
      </c>
      <c r="C80" s="10">
        <f t="shared" ref="C80:D80" si="102">SUM(C81:C84)</f>
        <v>366</v>
      </c>
      <c r="D80" s="25">
        <f t="shared" si="102"/>
        <v>645</v>
      </c>
      <c r="E80" s="11">
        <f>SUM(E81:E84)</f>
        <v>67</v>
      </c>
      <c r="F80" s="10">
        <f t="shared" ref="F80:G80" si="103">SUM(F81:F84)</f>
        <v>67</v>
      </c>
      <c r="G80" s="25">
        <f t="shared" si="103"/>
        <v>134</v>
      </c>
      <c r="H80" s="47">
        <f>SUM(H81:H84)</f>
        <v>41</v>
      </c>
      <c r="I80" s="10">
        <f t="shared" ref="I80:J80" si="104">SUM(I81:I84)</f>
        <v>41</v>
      </c>
      <c r="J80" s="25">
        <f t="shared" si="104"/>
        <v>82</v>
      </c>
      <c r="K80" s="11">
        <f>SUM(K81:K84)</f>
        <v>293</v>
      </c>
      <c r="L80" s="10">
        <f t="shared" ref="L80:M80" si="105">SUM(L81:L84)</f>
        <v>339</v>
      </c>
      <c r="M80" s="9">
        <f t="shared" si="105"/>
        <v>632</v>
      </c>
    </row>
    <row r="81" spans="1:13" x14ac:dyDescent="0.2">
      <c r="A81" s="52" t="s">
        <v>32</v>
      </c>
      <c r="B81" s="50">
        <f>30+13+2</f>
        <v>45</v>
      </c>
      <c r="C81" s="49">
        <f>24+17</f>
        <v>41</v>
      </c>
      <c r="D81" s="25">
        <f>SUM(B81:C81)</f>
        <v>86</v>
      </c>
      <c r="E81" s="50">
        <v>9</v>
      </c>
      <c r="F81" s="49">
        <v>7</v>
      </c>
      <c r="G81" s="25">
        <f>SUM(E81:F81)</f>
        <v>16</v>
      </c>
      <c r="H81" s="49">
        <v>7</v>
      </c>
      <c r="I81" s="49">
        <v>7</v>
      </c>
      <c r="J81" s="25">
        <f>SUM(H81:I81)</f>
        <v>14</v>
      </c>
      <c r="K81" s="50">
        <f>41+13+20</f>
        <v>74</v>
      </c>
      <c r="L81" s="49">
        <f>36+7+20</f>
        <v>63</v>
      </c>
      <c r="M81" s="9">
        <f>SUM(K81:L81)</f>
        <v>137</v>
      </c>
    </row>
    <row r="82" spans="1:13" x14ac:dyDescent="0.2">
      <c r="A82" s="52" t="s">
        <v>33</v>
      </c>
      <c r="B82" s="50">
        <f>49+25</f>
        <v>74</v>
      </c>
      <c r="C82" s="49">
        <f>60+30+1</f>
        <v>91</v>
      </c>
      <c r="D82" s="25">
        <f t="shared" ref="D82:D84" si="106">SUM(B82:C82)</f>
        <v>165</v>
      </c>
      <c r="E82" s="50">
        <v>20</v>
      </c>
      <c r="F82" s="49">
        <v>11</v>
      </c>
      <c r="G82" s="25">
        <f t="shared" ref="G82:G84" si="107">SUM(E82:F82)</f>
        <v>31</v>
      </c>
      <c r="H82" s="49">
        <v>13</v>
      </c>
      <c r="I82" s="49">
        <v>9</v>
      </c>
      <c r="J82" s="25">
        <f t="shared" ref="J82:J84" si="108">SUM(H82:I82)</f>
        <v>22</v>
      </c>
      <c r="K82" s="50">
        <f>32+12+29</f>
        <v>73</v>
      </c>
      <c r="L82" s="49">
        <f>34+15+20</f>
        <v>69</v>
      </c>
      <c r="M82" s="9">
        <f t="shared" ref="M82:M84" si="109">SUM(K82:L82)</f>
        <v>142</v>
      </c>
    </row>
    <row r="83" spans="1:13" x14ac:dyDescent="0.2">
      <c r="A83" s="52" t="s">
        <v>34</v>
      </c>
      <c r="B83" s="50">
        <f>62+22</f>
        <v>84</v>
      </c>
      <c r="C83" s="49">
        <f>72+25</f>
        <v>97</v>
      </c>
      <c r="D83" s="25">
        <f t="shared" si="106"/>
        <v>181</v>
      </c>
      <c r="E83" s="50">
        <v>15</v>
      </c>
      <c r="F83" s="49">
        <v>16</v>
      </c>
      <c r="G83" s="25">
        <f t="shared" si="107"/>
        <v>31</v>
      </c>
      <c r="H83" s="49">
        <v>9</v>
      </c>
      <c r="I83" s="49">
        <v>7</v>
      </c>
      <c r="J83" s="25">
        <f t="shared" si="108"/>
        <v>16</v>
      </c>
      <c r="K83" s="50">
        <f>30+11+31</f>
        <v>72</v>
      </c>
      <c r="L83" s="49">
        <f>34+14+19</f>
        <v>67</v>
      </c>
      <c r="M83" s="9">
        <f t="shared" si="109"/>
        <v>139</v>
      </c>
    </row>
    <row r="84" spans="1:13" ht="13.5" thickBot="1" x14ac:dyDescent="0.25">
      <c r="A84" s="54" t="s">
        <v>18</v>
      </c>
      <c r="B84" s="5">
        <f>48+26+2</f>
        <v>76</v>
      </c>
      <c r="C84" s="4">
        <f>72+62+3</f>
        <v>137</v>
      </c>
      <c r="D84" s="44">
        <f t="shared" si="106"/>
        <v>213</v>
      </c>
      <c r="E84" s="5">
        <v>23</v>
      </c>
      <c r="F84" s="4">
        <v>33</v>
      </c>
      <c r="G84" s="44">
        <f t="shared" si="107"/>
        <v>56</v>
      </c>
      <c r="H84" s="4">
        <v>12</v>
      </c>
      <c r="I84" s="4">
        <v>18</v>
      </c>
      <c r="J84" s="44">
        <f t="shared" si="108"/>
        <v>30</v>
      </c>
      <c r="K84" s="5">
        <f>36+19+19</f>
        <v>74</v>
      </c>
      <c r="L84" s="4">
        <f>67+51+22</f>
        <v>140</v>
      </c>
      <c r="M84" s="73">
        <f t="shared" si="109"/>
        <v>214</v>
      </c>
    </row>
    <row r="85" spans="1:13" ht="13.5" thickBot="1" x14ac:dyDescent="0.25">
      <c r="A85" s="24"/>
      <c r="B85" s="23"/>
      <c r="C85" s="23"/>
      <c r="D85" s="23"/>
      <c r="E85" s="23"/>
      <c r="F85" s="23"/>
      <c r="G85" s="23"/>
      <c r="H85" s="3"/>
      <c r="I85" s="3"/>
      <c r="J85" s="3"/>
      <c r="K85" s="3"/>
      <c r="L85" s="3"/>
      <c r="M85" s="3"/>
    </row>
    <row r="86" spans="1:13" x14ac:dyDescent="0.2">
      <c r="A86" s="55" t="s">
        <v>38</v>
      </c>
      <c r="B86" s="64" t="s">
        <v>41</v>
      </c>
      <c r="C86" s="64"/>
      <c r="D86" s="64"/>
      <c r="E86" s="64" t="s">
        <v>42</v>
      </c>
      <c r="F86" s="64"/>
      <c r="G86" s="65"/>
      <c r="H86" s="66"/>
      <c r="I86" s="66"/>
      <c r="J86" s="66"/>
      <c r="K86" s="66"/>
      <c r="L86" s="66"/>
      <c r="M86" s="66"/>
    </row>
    <row r="87" spans="1:13" x14ac:dyDescent="0.2">
      <c r="A87" s="22" t="s">
        <v>5</v>
      </c>
      <c r="B87" s="20" t="s">
        <v>0</v>
      </c>
      <c r="C87" s="19" t="s">
        <v>1</v>
      </c>
      <c r="D87" s="27" t="s">
        <v>16</v>
      </c>
      <c r="E87" s="20" t="s">
        <v>0</v>
      </c>
      <c r="F87" s="19" t="s">
        <v>1</v>
      </c>
      <c r="G87" s="18" t="s">
        <v>16</v>
      </c>
      <c r="H87" s="17"/>
      <c r="I87" s="17"/>
      <c r="J87" s="17"/>
      <c r="K87" s="17"/>
      <c r="L87" s="17"/>
      <c r="M87" s="17"/>
    </row>
    <row r="88" spans="1:13" x14ac:dyDescent="0.2">
      <c r="A88" s="52" t="s">
        <v>40</v>
      </c>
      <c r="B88" s="16">
        <f>SUM(B90,B95,B107)</f>
        <v>782</v>
      </c>
      <c r="C88" s="15">
        <f t="shared" ref="C88:D88" si="110">SUM(C90,C95,C107)</f>
        <v>718</v>
      </c>
      <c r="D88" s="39">
        <f t="shared" si="110"/>
        <v>1500</v>
      </c>
      <c r="E88" s="16">
        <f>SUM(E90,E95,E107)</f>
        <v>443</v>
      </c>
      <c r="F88" s="15">
        <f t="shared" ref="F88:G88" si="111">SUM(F90,F95,F107)</f>
        <v>517</v>
      </c>
      <c r="G88" s="14">
        <f t="shared" si="111"/>
        <v>960</v>
      </c>
      <c r="H88" s="13"/>
      <c r="I88" s="13"/>
      <c r="J88" s="13"/>
      <c r="K88" s="13"/>
      <c r="L88" s="13"/>
      <c r="M88" s="13"/>
    </row>
    <row r="89" spans="1:13" x14ac:dyDescent="0.2">
      <c r="A89" s="8"/>
      <c r="B89" s="11"/>
      <c r="C89" s="10"/>
      <c r="D89" s="25"/>
      <c r="E89" s="11"/>
      <c r="F89" s="10"/>
      <c r="G89" s="9"/>
      <c r="H89" s="3"/>
      <c r="I89" s="3"/>
      <c r="J89" s="3"/>
      <c r="K89" s="3"/>
      <c r="L89" s="3"/>
      <c r="M89" s="3"/>
    </row>
    <row r="90" spans="1:13" ht="24" x14ac:dyDescent="0.2">
      <c r="A90" s="12" t="s">
        <v>14</v>
      </c>
      <c r="B90" s="11">
        <f>SUM(B91:B93)</f>
        <v>47</v>
      </c>
      <c r="C90" s="10">
        <f t="shared" ref="C90" si="112">SUM(C91:C93)</f>
        <v>47</v>
      </c>
      <c r="D90" s="25">
        <f>SUM(D91:D93)</f>
        <v>94</v>
      </c>
      <c r="E90" s="11">
        <f>SUM(E91:E93)</f>
        <v>31</v>
      </c>
      <c r="F90" s="10">
        <f t="shared" ref="F90" si="113">SUM(F91:F93)</f>
        <v>22</v>
      </c>
      <c r="G90" s="9">
        <f>SUM(G91:G93)</f>
        <v>53</v>
      </c>
      <c r="H90" s="3"/>
      <c r="I90" s="3"/>
      <c r="J90" s="3"/>
      <c r="K90" s="3"/>
      <c r="L90" s="3"/>
      <c r="M90" s="3"/>
    </row>
    <row r="91" spans="1:13" x14ac:dyDescent="0.2">
      <c r="A91" s="52" t="s">
        <v>20</v>
      </c>
      <c r="B91" s="7">
        <v>15</v>
      </c>
      <c r="C91" s="6">
        <v>8</v>
      </c>
      <c r="D91" s="25">
        <f>SUM(B91:C91)</f>
        <v>23</v>
      </c>
      <c r="E91" s="7">
        <v>6</v>
      </c>
      <c r="F91" s="6">
        <v>2</v>
      </c>
      <c r="G91" s="9">
        <f>SUM(E91:F91)</f>
        <v>8</v>
      </c>
      <c r="H91" s="3"/>
      <c r="I91" s="3"/>
      <c r="J91" s="3"/>
      <c r="K91" s="3"/>
      <c r="L91" s="3"/>
      <c r="M91" s="3"/>
    </row>
    <row r="92" spans="1:13" x14ac:dyDescent="0.2">
      <c r="A92" s="52" t="s">
        <v>19</v>
      </c>
      <c r="B92" s="7">
        <v>18</v>
      </c>
      <c r="C92" s="6">
        <v>23</v>
      </c>
      <c r="D92" s="25">
        <f t="shared" ref="D92:D93" si="114">SUM(B92:C92)</f>
        <v>41</v>
      </c>
      <c r="E92" s="7">
        <v>9</v>
      </c>
      <c r="F92" s="6">
        <v>10</v>
      </c>
      <c r="G92" s="9">
        <f t="shared" ref="G92:G93" si="115">SUM(E92:F92)</f>
        <v>19</v>
      </c>
      <c r="H92" s="3"/>
      <c r="I92" s="3"/>
      <c r="J92" s="3"/>
      <c r="K92" s="3"/>
      <c r="L92" s="3"/>
      <c r="M92" s="3"/>
    </row>
    <row r="93" spans="1:13" x14ac:dyDescent="0.2">
      <c r="A93" s="52" t="s">
        <v>21</v>
      </c>
      <c r="B93" s="7">
        <v>14</v>
      </c>
      <c r="C93" s="6">
        <v>16</v>
      </c>
      <c r="D93" s="25">
        <f t="shared" si="114"/>
        <v>30</v>
      </c>
      <c r="E93" s="7">
        <v>16</v>
      </c>
      <c r="F93" s="6">
        <v>10</v>
      </c>
      <c r="G93" s="9">
        <f t="shared" si="115"/>
        <v>26</v>
      </c>
      <c r="H93" s="3"/>
      <c r="I93" s="3"/>
      <c r="J93" s="3"/>
      <c r="K93" s="3"/>
      <c r="L93" s="3"/>
      <c r="M93" s="3"/>
    </row>
    <row r="94" spans="1:13" x14ac:dyDescent="0.2">
      <c r="A94" s="8"/>
      <c r="B94" s="11"/>
      <c r="C94" s="10"/>
      <c r="D94" s="25"/>
      <c r="E94" s="11"/>
      <c r="F94" s="10"/>
      <c r="G94" s="9"/>
      <c r="H94" s="3"/>
      <c r="I94" s="3"/>
      <c r="J94" s="3"/>
      <c r="K94" s="3"/>
      <c r="L94" s="3"/>
      <c r="M94" s="3"/>
    </row>
    <row r="95" spans="1:13" ht="24" x14ac:dyDescent="0.2">
      <c r="A95" s="12" t="s">
        <v>3</v>
      </c>
      <c r="B95" s="11">
        <f>SUM(B96:B105)</f>
        <v>396</v>
      </c>
      <c r="C95" s="10">
        <f t="shared" ref="C95:D95" si="116">SUM(C96:C105)</f>
        <v>277</v>
      </c>
      <c r="D95" s="25">
        <f t="shared" si="116"/>
        <v>673</v>
      </c>
      <c r="E95" s="11">
        <f>SUM(E96:E105)</f>
        <v>197</v>
      </c>
      <c r="F95" s="10">
        <f t="shared" ref="F95:G95" si="117">SUM(F96:F105)</f>
        <v>159</v>
      </c>
      <c r="G95" s="9">
        <f t="shared" si="117"/>
        <v>356</v>
      </c>
      <c r="H95" s="3"/>
      <c r="I95" s="3"/>
      <c r="J95" s="3"/>
      <c r="K95" s="3"/>
      <c r="L95" s="3"/>
      <c r="M95" s="3"/>
    </row>
    <row r="96" spans="1:13" x14ac:dyDescent="0.2">
      <c r="A96" s="52" t="s">
        <v>22</v>
      </c>
      <c r="B96" s="7">
        <v>9</v>
      </c>
      <c r="C96" s="6">
        <v>13</v>
      </c>
      <c r="D96" s="25">
        <f>SUM(B96:C96)</f>
        <v>22</v>
      </c>
      <c r="E96" s="7">
        <v>7</v>
      </c>
      <c r="F96" s="6">
        <v>9</v>
      </c>
      <c r="G96" s="9">
        <f>SUM(E96:F96)</f>
        <v>16</v>
      </c>
      <c r="H96" s="3"/>
      <c r="I96" s="3"/>
      <c r="J96" s="3"/>
      <c r="K96" s="3"/>
      <c r="L96" s="3"/>
      <c r="M96" s="3"/>
    </row>
    <row r="97" spans="1:13" x14ac:dyDescent="0.2">
      <c r="A97" s="52" t="s">
        <v>23</v>
      </c>
      <c r="B97" s="7">
        <v>29</v>
      </c>
      <c r="C97" s="6">
        <v>15</v>
      </c>
      <c r="D97" s="25">
        <f t="shared" ref="D97:D98" si="118">SUM(B97:C97)</f>
        <v>44</v>
      </c>
      <c r="E97" s="7">
        <v>12</v>
      </c>
      <c r="F97" s="6">
        <v>12</v>
      </c>
      <c r="G97" s="9">
        <f t="shared" ref="G97:G98" si="119">SUM(E97:F97)</f>
        <v>24</v>
      </c>
      <c r="H97" s="3"/>
      <c r="I97" s="3"/>
      <c r="J97" s="3"/>
      <c r="K97" s="3"/>
      <c r="L97" s="3"/>
      <c r="M97" s="3"/>
    </row>
    <row r="98" spans="1:13" x14ac:dyDescent="0.2">
      <c r="A98" s="52" t="s">
        <v>24</v>
      </c>
      <c r="B98" s="7">
        <v>18</v>
      </c>
      <c r="C98" s="6">
        <v>19</v>
      </c>
      <c r="D98" s="25">
        <f t="shared" si="118"/>
        <v>37</v>
      </c>
      <c r="E98" s="7">
        <v>14</v>
      </c>
      <c r="F98" s="6">
        <v>13</v>
      </c>
      <c r="G98" s="9">
        <f t="shared" si="119"/>
        <v>27</v>
      </c>
      <c r="H98" s="3"/>
      <c r="I98" s="3"/>
      <c r="J98" s="3"/>
      <c r="K98" s="3"/>
      <c r="L98" s="3"/>
      <c r="M98" s="3"/>
    </row>
    <row r="99" spans="1:13" x14ac:dyDescent="0.2">
      <c r="A99" s="52" t="s">
        <v>25</v>
      </c>
      <c r="B99" s="7">
        <v>23</v>
      </c>
      <c r="C99" s="6">
        <v>20</v>
      </c>
      <c r="D99" s="25">
        <f>SUM(B99:C99)</f>
        <v>43</v>
      </c>
      <c r="E99" s="7">
        <v>15</v>
      </c>
      <c r="F99" s="6">
        <v>10</v>
      </c>
      <c r="G99" s="9">
        <f>SUM(E99:F99)</f>
        <v>25</v>
      </c>
      <c r="H99" s="3"/>
      <c r="I99" s="3"/>
      <c r="J99" s="3"/>
      <c r="K99" s="3"/>
      <c r="L99" s="3"/>
      <c r="M99" s="3"/>
    </row>
    <row r="100" spans="1:13" x14ac:dyDescent="0.2">
      <c r="A100" s="52" t="s">
        <v>26</v>
      </c>
      <c r="B100" s="7">
        <v>43</v>
      </c>
      <c r="C100" s="6">
        <v>22</v>
      </c>
      <c r="D100" s="25">
        <f t="shared" ref="D100:D101" si="120">SUM(B100:C100)</f>
        <v>65</v>
      </c>
      <c r="E100" s="7">
        <v>12</v>
      </c>
      <c r="F100" s="6">
        <v>17</v>
      </c>
      <c r="G100" s="9">
        <f t="shared" ref="G100:G101" si="121">SUM(E100:F100)</f>
        <v>29</v>
      </c>
      <c r="H100" s="3"/>
      <c r="I100" s="3"/>
      <c r="J100" s="3"/>
      <c r="K100" s="3"/>
      <c r="L100" s="3"/>
      <c r="M100" s="3"/>
    </row>
    <row r="101" spans="1:13" x14ac:dyDescent="0.2">
      <c r="A101" s="52" t="s">
        <v>27</v>
      </c>
      <c r="B101" s="7">
        <v>47</v>
      </c>
      <c r="C101" s="6">
        <v>29</v>
      </c>
      <c r="D101" s="25">
        <f t="shared" si="120"/>
        <v>76</v>
      </c>
      <c r="E101" s="7">
        <v>19</v>
      </c>
      <c r="F101" s="6">
        <v>10</v>
      </c>
      <c r="G101" s="9">
        <f t="shared" si="121"/>
        <v>29</v>
      </c>
      <c r="H101" s="3"/>
      <c r="I101" s="3"/>
      <c r="J101" s="3"/>
      <c r="K101" s="3"/>
      <c r="L101" s="3"/>
      <c r="M101" s="3"/>
    </row>
    <row r="102" spans="1:13" x14ac:dyDescent="0.2">
      <c r="A102" s="52" t="s">
        <v>28</v>
      </c>
      <c r="B102" s="7">
        <v>32</v>
      </c>
      <c r="C102" s="6">
        <v>30</v>
      </c>
      <c r="D102" s="25">
        <f>SUM(B102:C102)</f>
        <v>62</v>
      </c>
      <c r="E102" s="7">
        <v>19</v>
      </c>
      <c r="F102" s="6">
        <v>15</v>
      </c>
      <c r="G102" s="9">
        <f>SUM(E102:F102)</f>
        <v>34</v>
      </c>
      <c r="H102" s="3"/>
      <c r="I102" s="3"/>
      <c r="J102" s="3"/>
      <c r="K102" s="3"/>
      <c r="L102" s="3"/>
      <c r="M102" s="3"/>
    </row>
    <row r="103" spans="1:13" x14ac:dyDescent="0.2">
      <c r="A103" s="52" t="s">
        <v>29</v>
      </c>
      <c r="B103" s="7">
        <v>58</v>
      </c>
      <c r="C103" s="6">
        <v>35</v>
      </c>
      <c r="D103" s="25">
        <f>SUM(B103:C103)</f>
        <v>93</v>
      </c>
      <c r="E103" s="7">
        <v>30</v>
      </c>
      <c r="F103" s="6">
        <v>18</v>
      </c>
      <c r="G103" s="9">
        <f>SUM(E103:F103)</f>
        <v>48</v>
      </c>
      <c r="H103" s="3"/>
      <c r="I103" s="3"/>
      <c r="J103" s="3"/>
      <c r="K103" s="3"/>
      <c r="L103" s="3"/>
      <c r="M103" s="3"/>
    </row>
    <row r="104" spans="1:13" x14ac:dyDescent="0.2">
      <c r="A104" s="52" t="s">
        <v>30</v>
      </c>
      <c r="B104" s="7">
        <v>74</v>
      </c>
      <c r="C104" s="6">
        <v>45</v>
      </c>
      <c r="D104" s="25">
        <f t="shared" ref="D104:D105" si="122">SUM(B104:C104)</f>
        <v>119</v>
      </c>
      <c r="E104" s="7">
        <v>44</v>
      </c>
      <c r="F104" s="6">
        <v>25</v>
      </c>
      <c r="G104" s="9">
        <f t="shared" ref="G104:G105" si="123">SUM(E104:F104)</f>
        <v>69</v>
      </c>
      <c r="H104" s="3"/>
      <c r="I104" s="3"/>
      <c r="J104" s="3"/>
      <c r="K104" s="3"/>
      <c r="L104" s="3"/>
      <c r="M104" s="3"/>
    </row>
    <row r="105" spans="1:13" x14ac:dyDescent="0.2">
      <c r="A105" s="52" t="s">
        <v>31</v>
      </c>
      <c r="B105" s="7">
        <v>63</v>
      </c>
      <c r="C105" s="6">
        <v>49</v>
      </c>
      <c r="D105" s="25">
        <f t="shared" si="122"/>
        <v>112</v>
      </c>
      <c r="E105" s="7">
        <v>25</v>
      </c>
      <c r="F105" s="6">
        <v>30</v>
      </c>
      <c r="G105" s="9">
        <f t="shared" si="123"/>
        <v>55</v>
      </c>
      <c r="H105" s="3"/>
      <c r="I105" s="3"/>
      <c r="J105" s="3"/>
      <c r="K105" s="3"/>
      <c r="L105" s="3"/>
      <c r="M105" s="3"/>
    </row>
    <row r="106" spans="1:13" x14ac:dyDescent="0.2">
      <c r="A106" s="8"/>
      <c r="B106" s="11"/>
      <c r="C106" s="10"/>
      <c r="D106" s="25"/>
      <c r="E106" s="11"/>
      <c r="F106" s="10"/>
      <c r="G106" s="9"/>
      <c r="H106" s="3"/>
      <c r="I106" s="3"/>
      <c r="J106" s="3"/>
      <c r="K106" s="3"/>
      <c r="L106" s="3"/>
      <c r="M106" s="3"/>
    </row>
    <row r="107" spans="1:13" ht="24" x14ac:dyDescent="0.2">
      <c r="A107" s="12" t="s">
        <v>4</v>
      </c>
      <c r="B107" s="11">
        <f>SUM(B108:B111)</f>
        <v>339</v>
      </c>
      <c r="C107" s="10">
        <f t="shared" ref="C107:D107" si="124">SUM(C108:C111)</f>
        <v>394</v>
      </c>
      <c r="D107" s="25">
        <f t="shared" si="124"/>
        <v>733</v>
      </c>
      <c r="E107" s="11">
        <f>SUM(E108:E111)</f>
        <v>215</v>
      </c>
      <c r="F107" s="10">
        <f t="shared" ref="F107:G107" si="125">SUM(F108:F111)</f>
        <v>336</v>
      </c>
      <c r="G107" s="9">
        <f t="shared" si="125"/>
        <v>551</v>
      </c>
      <c r="H107" s="3"/>
      <c r="I107" s="3"/>
      <c r="J107" s="3"/>
      <c r="K107" s="3"/>
      <c r="L107" s="3"/>
      <c r="M107" s="3"/>
    </row>
    <row r="108" spans="1:13" x14ac:dyDescent="0.2">
      <c r="A108" s="52" t="s">
        <v>32</v>
      </c>
      <c r="B108" s="7">
        <v>58</v>
      </c>
      <c r="C108" s="6">
        <v>65</v>
      </c>
      <c r="D108" s="25">
        <f>SUM(B108:C108)</f>
        <v>123</v>
      </c>
      <c r="E108" s="7">
        <v>41</v>
      </c>
      <c r="F108" s="6">
        <v>36</v>
      </c>
      <c r="G108" s="9">
        <f>SUM(E108:F108)</f>
        <v>77</v>
      </c>
      <c r="H108" s="3"/>
      <c r="I108" s="3"/>
      <c r="J108" s="3"/>
      <c r="K108" s="3"/>
      <c r="L108" s="3"/>
      <c r="M108" s="3"/>
    </row>
    <row r="109" spans="1:13" x14ac:dyDescent="0.2">
      <c r="A109" s="52" t="s">
        <v>33</v>
      </c>
      <c r="B109" s="7">
        <v>85</v>
      </c>
      <c r="C109" s="6">
        <v>79</v>
      </c>
      <c r="D109" s="25">
        <f t="shared" ref="D109:D111" si="126">SUM(B109:C109)</f>
        <v>164</v>
      </c>
      <c r="E109" s="7">
        <v>58</v>
      </c>
      <c r="F109" s="6">
        <v>50</v>
      </c>
      <c r="G109" s="9">
        <f t="shared" ref="G109:G111" si="127">SUM(E109:F109)</f>
        <v>108</v>
      </c>
      <c r="H109" s="3"/>
      <c r="I109" s="3"/>
      <c r="J109" s="3"/>
      <c r="K109" s="3"/>
      <c r="L109" s="3"/>
      <c r="M109" s="3"/>
    </row>
    <row r="110" spans="1:13" x14ac:dyDescent="0.2">
      <c r="A110" s="52" t="s">
        <v>34</v>
      </c>
      <c r="B110" s="7">
        <v>86</v>
      </c>
      <c r="C110" s="6">
        <v>85</v>
      </c>
      <c r="D110" s="25">
        <f t="shared" si="126"/>
        <v>171</v>
      </c>
      <c r="E110" s="7">
        <v>38</v>
      </c>
      <c r="F110" s="6">
        <v>73</v>
      </c>
      <c r="G110" s="9">
        <f t="shared" si="127"/>
        <v>111</v>
      </c>
      <c r="H110" s="3"/>
      <c r="I110" s="3"/>
      <c r="J110" s="3"/>
      <c r="K110" s="3"/>
      <c r="L110" s="3"/>
      <c r="M110" s="3"/>
    </row>
    <row r="111" spans="1:13" ht="13.5" thickBot="1" x14ac:dyDescent="0.25">
      <c r="A111" s="54" t="s">
        <v>18</v>
      </c>
      <c r="B111" s="5">
        <f>56+32+18+4</f>
        <v>110</v>
      </c>
      <c r="C111" s="4">
        <f>74+55+27+7+1+1</f>
        <v>165</v>
      </c>
      <c r="D111" s="44">
        <f t="shared" si="126"/>
        <v>275</v>
      </c>
      <c r="E111" s="5">
        <f>35+27+13+3</f>
        <v>78</v>
      </c>
      <c r="F111" s="4">
        <f>70+54+38+15</f>
        <v>177</v>
      </c>
      <c r="G111" s="73">
        <f t="shared" si="127"/>
        <v>255</v>
      </c>
      <c r="H111" s="3"/>
      <c r="I111" s="3"/>
      <c r="J111" s="3"/>
      <c r="K111" s="3"/>
      <c r="L111" s="3"/>
      <c r="M111" s="3"/>
    </row>
    <row r="112" spans="1:13" x14ac:dyDescent="0.2">
      <c r="C112" s="2"/>
    </row>
  </sheetData>
  <mergeCells count="17">
    <mergeCell ref="B86:D86"/>
    <mergeCell ref="E86:G86"/>
    <mergeCell ref="H86:J86"/>
    <mergeCell ref="K86:M86"/>
    <mergeCell ref="B30:D30"/>
    <mergeCell ref="E30:G30"/>
    <mergeCell ref="H30:J30"/>
    <mergeCell ref="K30:M30"/>
    <mergeCell ref="B59:D59"/>
    <mergeCell ref="E59:G59"/>
    <mergeCell ref="H59:J59"/>
    <mergeCell ref="K59:M59"/>
    <mergeCell ref="H2:M2"/>
    <mergeCell ref="B3:D3"/>
    <mergeCell ref="E3:G3"/>
    <mergeCell ref="H3:J3"/>
    <mergeCell ref="K3:M3"/>
  </mergeCells>
  <phoneticPr fontId="6"/>
  <pageMargins left="0.47244094488188981" right="0.51181102362204722" top="0.59055118110236227" bottom="0.27559055118110237" header="0.35433070866141736" footer="0.23622047244094491"/>
  <pageSetup paperSize="9" fitToHeight="2" orientation="portrait" horizontalDpi="300" verticalDpi="300" r:id="rId1"/>
  <headerFooter alignWithMargins="0"/>
  <rowBreaks count="1" manualBreakCount="1">
    <brk id="5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2865E-D1B8-4FBC-AB67-7CE87EECF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16CFCD-80F8-4F95-85AD-CF813267DD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277EF4-6818-4700-A7D2-901C56FB8A9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７　地区別５歳階級男女別人口</vt:lpstr>
      <vt:lpstr>'７　地区別５歳階級男女別人口'!Print_Area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2026-01-14T02:31:20Z</cp:lastPrinted>
  <dcterms:created xsi:type="dcterms:W3CDTF">1997-06-20T00:13:05Z</dcterms:created>
  <dcterms:modified xsi:type="dcterms:W3CDTF">2026-01-14T02:32:17Z</dcterms:modified>
</cp:coreProperties>
</file>